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505" windowHeight="5715" tabRatio="970" activeTab="0"/>
  </bookViews>
  <sheets>
    <sheet name="Apresentação" sheetId="1" r:id="rId1"/>
    <sheet name="1-Critérios" sheetId="2" r:id="rId2"/>
    <sheet name="2-Quantos dispositivos" sheetId="3" r:id="rId3"/>
    <sheet name="3-Dinâmica dos Implantes" sheetId="4" r:id="rId4"/>
    <sheet name="4-Dinâmica da Doença" sheetId="5" r:id="rId5"/>
    <sheet name="5-Custos Implante" sheetId="6" r:id="rId6"/>
    <sheet name="6-Custos  Manuntenção" sheetId="7" r:id="rId7"/>
    <sheet name="7-Possíveis Economias" sheetId="8" r:id="rId8"/>
    <sheet name="8-Ajustes econômicos" sheetId="9" r:id="rId9"/>
    <sheet name="9-Evolução de Valores" sheetId="10" r:id="rId10"/>
    <sheet name="10-Impacto Orçamentário Anual" sheetId="11" r:id="rId11"/>
    <sheet name="11-Relatório" sheetId="12" r:id="rId12"/>
    <sheet name="Programação" sheetId="13" r:id="rId13"/>
  </sheets>
  <definedNames>
    <definedName name="Custo_implante">'Programação'!$C$6:$C$7</definedName>
    <definedName name="Menu0">'Programação'!$A$6:$A$10</definedName>
    <definedName name="Menu1">'Programação'!$B$6:$B$7</definedName>
    <definedName name="Menu3">'Programação'!$D$6:$D$7</definedName>
    <definedName name="Menu4">'Programação'!$E$6:$E$8</definedName>
    <definedName name="Menu4.1">'Programação'!$E$6:$E$9</definedName>
    <definedName name="Menu4.2">'Programação'!$E$6:$E$7</definedName>
    <definedName name="Menu5">'Programação'!$F$6:$F$7</definedName>
    <definedName name="Menu6">'Programação'!$A$18:$A$19</definedName>
    <definedName name="Menu7">'Programação'!$B$18:$B$19</definedName>
    <definedName name="x">'Programação'!$E$6:$E$8</definedName>
  </definedNames>
  <calcPr fullCalcOnLoad="1"/>
</workbook>
</file>

<file path=xl/sharedStrings.xml><?xml version="1.0" encoding="utf-8"?>
<sst xmlns="http://schemas.openxmlformats.org/spreadsheetml/2006/main" count="587" uniqueCount="291">
  <si>
    <t>Planilha Brasileira para Análise do Impacto Orçamentário de Dispositivos Terapêuticos</t>
  </si>
  <si>
    <t>Bem Vindo à PBIO - Dispositivos</t>
  </si>
  <si>
    <t>Dispositivo terapêutico - equipamento desenvolvido para uso continuado no tratamento de doenças</t>
  </si>
  <si>
    <t>Características dos dispositivos para os quais a presente planilha se aplica:</t>
  </si>
  <si>
    <t>1) Dispositivos implantáveis ou não-implantáveis de uso contínuo</t>
  </si>
  <si>
    <t>2) Destinados ao tratamento de doenças crônicas ou implantados em episódios de doença aguda</t>
  </si>
  <si>
    <t>3) Podem ou não requerer tratamento farmacológico especial associado</t>
  </si>
  <si>
    <t>4) Podem ou não requerer testes diagnósticos e acompanhamento especializado para sua manutenção</t>
  </si>
  <si>
    <t>A presente planilha possibilita:</t>
  </si>
  <si>
    <t>2) Enumerar e contabilizar os custos farmacológicos de manutenção do dispositivo</t>
  </si>
  <si>
    <t>3) Enumerar e contabilizar os custos não farmacológicos de manutenção do dispositivo</t>
  </si>
  <si>
    <t>Definições Fundamentais</t>
  </si>
  <si>
    <t>Perspectiva da análise</t>
  </si>
  <si>
    <t>Nome da enfermidade para a qual o dispositivo de interesse se destina</t>
  </si>
  <si>
    <t>Nome do dispositivo</t>
  </si>
  <si>
    <t>Modelo / especificações</t>
  </si>
  <si>
    <t>Benefício esperado com base em estudos de eficácia (descrever)</t>
  </si>
  <si>
    <t>Definição territorial / Jurisdição</t>
  </si>
  <si>
    <t>Quantos dispositivos serão necessários?</t>
  </si>
  <si>
    <t>Estimativa Epidemiológica</t>
  </si>
  <si>
    <t>População do território ou jurisdição de interesse</t>
  </si>
  <si>
    <t>Melhor estimativa de prevalência (em %) da enfermidade em estudo</t>
  </si>
  <si>
    <t>Estimativa da proporção de pacientes com indicação de uso do dispositivo</t>
  </si>
  <si>
    <t>Quantidade média de dispositivos por paciente</t>
  </si>
  <si>
    <t>ex.: número médio de stents por paciente</t>
  </si>
  <si>
    <t>ex.: dividir o número de CDI indicado pelo número de CDI efetivamente implantado</t>
  </si>
  <si>
    <t>Estimativa por Demanda Aferida</t>
  </si>
  <si>
    <t>Letalidade entre pacientes com indicação do uso do dispositivo</t>
  </si>
  <si>
    <t>Custos relacionados ao implante do dispositivo</t>
  </si>
  <si>
    <t>Opção 1: Custo médio global do implante do dispositivo (macrocusto)</t>
  </si>
  <si>
    <t>Custo do dispositivo em si e kit incluído</t>
  </si>
  <si>
    <t>Equipamentos necessários para o implante</t>
  </si>
  <si>
    <t>Custo utilização do equipamento 2</t>
  </si>
  <si>
    <t>Custo utilização do equipamento 3</t>
  </si>
  <si>
    <t>Custos hospitalares relacionados ao implante</t>
  </si>
  <si>
    <t>Número diárias enfermaria</t>
  </si>
  <si>
    <t>Valor unitário diária CTI</t>
  </si>
  <si>
    <t>Valor unitário diária enfermaria</t>
  </si>
  <si>
    <t>Medicamentos especialmente necessários ao implante</t>
  </si>
  <si>
    <t>Medicamento 1</t>
  </si>
  <si>
    <t>Medicamento 2</t>
  </si>
  <si>
    <t>Medicamento 3</t>
  </si>
  <si>
    <t>Custo unitário</t>
  </si>
  <si>
    <t>Custos anuais relacionados à manutenção do dispositivo</t>
  </si>
  <si>
    <t>Medicamentos de manutenção</t>
  </si>
  <si>
    <t>Medicamento 4</t>
  </si>
  <si>
    <t>Consultas médicas de seguimento</t>
  </si>
  <si>
    <t>Custo Unitário</t>
  </si>
  <si>
    <t>Unidades por dia</t>
  </si>
  <si>
    <t>Testes diagnósticos de seguimento</t>
  </si>
  <si>
    <t>Teste 2</t>
  </si>
  <si>
    <t>Teste 3</t>
  </si>
  <si>
    <t>Teste 4</t>
  </si>
  <si>
    <t>Total de pacientes no grupo controle</t>
  </si>
  <si>
    <t>Total de pacientes no grupo intervenção</t>
  </si>
  <si>
    <t>Contabilização dos custos evitados pela adoção do dispositivo no sistema de saúde</t>
  </si>
  <si>
    <t>EDGC - Eventos de Doença Geradores de Custos</t>
  </si>
  <si>
    <t>Exempos de EDGC: hospitalizações evitadas, cirurgias evitadas, procedimentos evitados, medicamentos evitados</t>
  </si>
  <si>
    <t>É possível contabilizar até 4 EDGC para avaliação dos custos evitados pela adoção da nova tecnologia</t>
  </si>
  <si>
    <t>É necessário identificar o(s) estudo(s) utilizados na obtenção dos dados de eficácia.</t>
  </si>
  <si>
    <t>Número de EDGC no grupo controle</t>
  </si>
  <si>
    <t>Número de EDGC no grupo intervenção</t>
  </si>
  <si>
    <t>Tempo médio de seguimento do ECR (em meses)</t>
  </si>
  <si>
    <t>Número médio anual de EDGC evitados pelo uso do dispositivo</t>
  </si>
  <si>
    <t>Número médio mensal de EDGC evitados pelo uso do dispositivo</t>
  </si>
  <si>
    <t>Custo médio do EDGC (estimativa, conforme a perspectiva da análise)</t>
  </si>
  <si>
    <t>Custo médio anual evitado para cada 100 pacientes tratados com o dispositivo</t>
  </si>
  <si>
    <t>Benefício absoluto para cada 100 pacientes tratados com o dispositivo</t>
  </si>
  <si>
    <t>Ano 1</t>
  </si>
  <si>
    <t>Ano 2</t>
  </si>
  <si>
    <t>Ano 3</t>
  </si>
  <si>
    <t>Ano 4</t>
  </si>
  <si>
    <t>Ano 5</t>
  </si>
  <si>
    <t>Taxa de descontos</t>
  </si>
  <si>
    <t xml:space="preserve">Ajustes para inflação e descontos não são recomendados rotineiramente. </t>
  </si>
  <si>
    <t>Se adotados, uma justificativa deverá ser informada.</t>
  </si>
  <si>
    <t>Inflação</t>
  </si>
  <si>
    <t>Brasil</t>
  </si>
  <si>
    <t>Ministério da Saúde</t>
  </si>
  <si>
    <t xml:space="preserve">Caracterização da indicação específica do dispositivo de interesse </t>
  </si>
  <si>
    <t xml:space="preserve">Percentual na faixa etária de interesse </t>
  </si>
  <si>
    <t>(para a qual a prevalência foi estimada)</t>
  </si>
  <si>
    <t>Quantos pacientes anualmente passarão</t>
  </si>
  <si>
    <t>Estimativa do número de dispositivos com base na prevalência</t>
  </si>
  <si>
    <t>Estimativa do número de indivíduos com indicação de uso do dispositivo</t>
  </si>
  <si>
    <t>(Considerando dispositivos que possibilitem implantes múltiplos ou</t>
  </si>
  <si>
    <t>considerando falhas de implante)</t>
  </si>
  <si>
    <t>ou disponibilidade de sistema de registro de pacientes</t>
  </si>
  <si>
    <t>(Extrair informação diretamente do ensaio clínico que demonstra redução da mortalidade)</t>
  </si>
  <si>
    <t>Nome do estudo:</t>
  </si>
  <si>
    <t>Mortes no grupo controle</t>
  </si>
  <si>
    <t>Letalidade calculada para o grupo controle</t>
  </si>
  <si>
    <t>Total de pacientes no grupo intervenção (dispositivo)</t>
  </si>
  <si>
    <t>Mortes no grupo intervenção (dispositivo)</t>
  </si>
  <si>
    <t>Letalidade calculada para o grupo intervenção (dispositivo)</t>
  </si>
  <si>
    <t>Epidemiológico</t>
  </si>
  <si>
    <t>Demanda aferida</t>
  </si>
  <si>
    <t>Menu seletor da estimativa - Epidemiológica ou Demanda Aferida?</t>
  </si>
  <si>
    <t>(Valor de base, corresponde ao número de indivíduos que teriam indicação de receber o dispositivo no território de interesse)</t>
  </si>
  <si>
    <t>Menu1</t>
  </si>
  <si>
    <t>Menu0</t>
  </si>
  <si>
    <t>Incidência de casos com critérios para uso do dispositivo:</t>
  </si>
  <si>
    <t>Taxa de incorporação da tecnologia (em % sobre o valor acima)</t>
  </si>
  <si>
    <t>Erro! Mais de 100%</t>
  </si>
  <si>
    <t>Número anual médio de primeiros implantes</t>
  </si>
  <si>
    <t>ou caso o custo total do "pacote" de recursos usados no implante seja conhecido.</t>
  </si>
  <si>
    <t>Total de custos relacionados ao implante do dispositivo (opção 2)</t>
  </si>
  <si>
    <t>Unidades ao dia</t>
  </si>
  <si>
    <t>Número de dias (médio)</t>
  </si>
  <si>
    <t>Total</t>
  </si>
  <si>
    <t>Custo total diárias enfermaria</t>
  </si>
  <si>
    <t>Custo total diárias CTI</t>
  </si>
  <si>
    <t>Opção 2: Custo detalhado do implante do dispositivo (microcusto)</t>
  </si>
  <si>
    <t>Escolha aqui o método para inclusão dos custos relacionados ao implante</t>
  </si>
  <si>
    <t>Menu2</t>
  </si>
  <si>
    <t>Opção 1 - Macrocusto</t>
  </si>
  <si>
    <t>Opção 2 - Microcusto</t>
  </si>
  <si>
    <t>Custo do implante adotado na análise</t>
  </si>
  <si>
    <t>Digite aqui a estimativa de custo conhecida para o implante do dispositivo (opção 1):</t>
  </si>
  <si>
    <t>Custo mensal</t>
  </si>
  <si>
    <t>Custo anual</t>
  </si>
  <si>
    <t>Consultas ao ano</t>
  </si>
  <si>
    <t xml:space="preserve">Teste 1 </t>
  </si>
  <si>
    <t>Identificação</t>
  </si>
  <si>
    <t>Exames ao ano</t>
  </si>
  <si>
    <t>Teste 5</t>
  </si>
  <si>
    <t>Especialidade 2</t>
  </si>
  <si>
    <t>Especialidade 3</t>
  </si>
  <si>
    <t>Especialidade 4</t>
  </si>
  <si>
    <t>Especialidade 5</t>
  </si>
  <si>
    <t>Unidades ao mês</t>
  </si>
  <si>
    <t>Custos anuais com medicamentos</t>
  </si>
  <si>
    <t>Custos anuais com consultas médicas de seguimento</t>
  </si>
  <si>
    <t>Custos anuais com testes diagnósticos</t>
  </si>
  <si>
    <t>Total de custos em 1 ano</t>
  </si>
  <si>
    <t>As informações requeridas quanto ao custo dos EDGC deverão ser pertinentes à perspectiva da análise (ou seja, custos incorridos pelo gestor)</t>
  </si>
  <si>
    <t>EDGC 1 - custo médio anual evitado</t>
  </si>
  <si>
    <t>EDGC 2 - custo médio anual evitado</t>
  </si>
  <si>
    <t>EDGC 3 - custo médio anual evitado</t>
  </si>
  <si>
    <t>EDGC 4 - custo médio anual evitado</t>
  </si>
  <si>
    <t>EDGC 1 (nome do evento):</t>
  </si>
  <si>
    <t>Total de custos evitados em 1 ano</t>
  </si>
  <si>
    <t>(em decorrência do uso do dispositivo)</t>
  </si>
  <si>
    <t>EDGC 2 (nome do evento):</t>
  </si>
  <si>
    <t>EDGC 3 (nome do evento):</t>
  </si>
  <si>
    <t>EDGC 4 (nome do evento):</t>
  </si>
  <si>
    <t>Custo do dispositivo + custos diretamente associados ao implante: no ano 1, não há ajuste para inflação ou descontos pois trata-se de custo único, incorrido no momento do implante</t>
  </si>
  <si>
    <t>Correção de meio de ciclo?</t>
  </si>
  <si>
    <t>Menu3</t>
  </si>
  <si>
    <t>Sim</t>
  </si>
  <si>
    <t>Não</t>
  </si>
  <si>
    <t>Não se aplica</t>
  </si>
  <si>
    <t>Para dispositivos com intervalo entre as trocas superior a 5 anos,</t>
  </si>
  <si>
    <t>o número teórico de trocas por substituição é igual a zero.</t>
  </si>
  <si>
    <t>Horizonte temporal da análise de impacto orçamentário</t>
  </si>
  <si>
    <t>(para dispositivos que requerem substituição regularmente)</t>
  </si>
  <si>
    <t>Menu5</t>
  </si>
  <si>
    <t>Intervalo entre as substituições</t>
  </si>
  <si>
    <t>Não requer ou requer com intervalo superior ao horizonte temporal da análise</t>
  </si>
  <si>
    <t>O dispositivo requer substituições regulares?</t>
  </si>
  <si>
    <t>Metade do HT = 2 trocas</t>
  </si>
  <si>
    <t>Igual ao HT = 1 troca</t>
  </si>
  <si>
    <t>Quantidade de implantes no ano 1</t>
  </si>
  <si>
    <t>Metade do horizonte temporal da análise (assume 2 substituições)</t>
  </si>
  <si>
    <t>Igual ao horizonte temporal da análise (assume 1 substituição)</t>
  </si>
  <si>
    <t>Célula de decisão =&gt;</t>
  </si>
  <si>
    <t>Menu4.2</t>
  </si>
  <si>
    <t>Nota: se a taxa de incorporação anual não for especificada, o modelo assume que todos os pacientes com indicação receberam o dispositivo no primeiro ano.</t>
  </si>
  <si>
    <t>Sim, com intervalo entre substituições compreendido no horizonte temporal</t>
  </si>
  <si>
    <t>Considerar custos evitados pela adoção do dispositivo nessa análise?</t>
  </si>
  <si>
    <t>Menu6</t>
  </si>
  <si>
    <t>Valor de custos evitados considerado na análise</t>
  </si>
  <si>
    <t>Número de pacientes para implante novo no ano 1</t>
  </si>
  <si>
    <t>Número de pacientes para substituição no ano 1</t>
  </si>
  <si>
    <t>Incidência (casos novos com indicação do dispositivo)</t>
  </si>
  <si>
    <t>Mortalidade nos pacientes que receberam o dispositivo</t>
  </si>
  <si>
    <t>Número médio de dispositivos por paciente</t>
  </si>
  <si>
    <t>Dispositivos necessários para o ano 1</t>
  </si>
  <si>
    <t>Valor adotado na análise</t>
  </si>
  <si>
    <t>Relatório de Custos Evitados Anualmente (por 100 pacientes tratados)</t>
  </si>
  <si>
    <t>Custo relacionados ao implante dos dispositivos (por paciente)</t>
  </si>
  <si>
    <t>Possíveis economias no ano 1 (pelo uso do dispositivo, por paciente)</t>
  </si>
  <si>
    <t>Total de economias potenciais</t>
  </si>
  <si>
    <t>Número de pacientes para implante novo no ano 2</t>
  </si>
  <si>
    <t>Número de pacientes para substituição no ano 2</t>
  </si>
  <si>
    <t>Usar correção de meio de ciclo para incidência e mortalidade?</t>
  </si>
  <si>
    <t>Menu7</t>
  </si>
  <si>
    <t>.=&gt;</t>
  </si>
  <si>
    <t>Valores para incidência e mortalidade usados na análise:</t>
  </si>
  <si>
    <t>Dispositivos necessários para o ano 2</t>
  </si>
  <si>
    <t>Custo total de 1 implante no ano 1</t>
  </si>
  <si>
    <t>População considerada (novos implantes)</t>
  </si>
  <si>
    <t>Acumulado de pacientes em manutenção (ano 1+ ano 2)</t>
  </si>
  <si>
    <t>Acumulado de pacientes em manutenção (ano 1)</t>
  </si>
  <si>
    <t>Número de pacientes para implante novo no ano 3</t>
  </si>
  <si>
    <t>Número de pacientes para substituição no ano 3</t>
  </si>
  <si>
    <t>Dispositivos necessários para o ano 3</t>
  </si>
  <si>
    <t>Acumulado de pacientes em manutenção</t>
  </si>
  <si>
    <t>(ano 1+ ano 2 + ano 3)</t>
  </si>
  <si>
    <t>(ano 1+ ano 2 + ano 3 + ano 4)</t>
  </si>
  <si>
    <t xml:space="preserve">Ano 4 </t>
  </si>
  <si>
    <t>Número de pacientes para implante novo no ano 4</t>
  </si>
  <si>
    <t>Número de pacientes para substituição no ano 4</t>
  </si>
  <si>
    <t>Dispositivos necessários para o ano 4</t>
  </si>
  <si>
    <t>Número de pacientes para implante novo no ano 5</t>
  </si>
  <si>
    <t>Número de pacientes para substituição no ano 5</t>
  </si>
  <si>
    <t>Dispositivos necessários para o ano 5</t>
  </si>
  <si>
    <t>(ano 1+ ano 2 + ano 3 + ano 4 + ano 5)</t>
  </si>
  <si>
    <t>Custos de manutenção no ano 1 (por paciente)</t>
  </si>
  <si>
    <t>Custo total considerando possíveis economias</t>
  </si>
  <si>
    <t>Ajuste para inflação</t>
  </si>
  <si>
    <t>Ajuste para inflação e descontos</t>
  </si>
  <si>
    <t>Custos de manutenção e possíveis economias são ajustados para inflação e descontos no ano 1</t>
  </si>
  <si>
    <t>Descontos</t>
  </si>
  <si>
    <t>Inflação e Descontos</t>
  </si>
  <si>
    <t>Sem ajuste</t>
  </si>
  <si>
    <t>Valores de base - ano 1</t>
  </si>
  <si>
    <t>Evolução dos valores ajustados - ano 2</t>
  </si>
  <si>
    <t>Evolução dos valores ajustados - ano 3</t>
  </si>
  <si>
    <t>Evolução dos valores ajustados - ano 4</t>
  </si>
  <si>
    <t>Evolução dos valores ajustados - ano 5</t>
  </si>
  <si>
    <t>Evolução de valores caso haja ajuste para inflação ou descontos</t>
  </si>
  <si>
    <t>Custo com dispositivos e implantes</t>
  </si>
  <si>
    <t>Custo com manutenção</t>
  </si>
  <si>
    <t>Custo total (dispositivo + manutenção) no ano 1</t>
  </si>
  <si>
    <t>Custo total (dispositivo + manutenção) no ano 2</t>
  </si>
  <si>
    <t>Custos do ano 1 - sem ajustes econômicos</t>
  </si>
  <si>
    <t>Custos do ano 2 sem ajustes econômicos</t>
  </si>
  <si>
    <t>Custos do ano 4 sem ajustes econômicos</t>
  </si>
  <si>
    <t>Custo total (dispositivo + manutenção) no ano 4</t>
  </si>
  <si>
    <t>Custos do ano 5 sem ajustes econômicos</t>
  </si>
  <si>
    <t>Custo total (dispositivo + manutenção) no ano 5</t>
  </si>
  <si>
    <t>Custo total (dispositivo + manutenção) no ano 3</t>
  </si>
  <si>
    <t>Custos do ano 3 sem ajustes econômicos</t>
  </si>
  <si>
    <t>Cálculo do Impacto Orçamentário Anual</t>
  </si>
  <si>
    <t>1) Enumerar e contabilizar os custos de implante do dispositivo</t>
  </si>
  <si>
    <t>4) Estimar o número anual de indivíduos que terá indicação do uso do dispositivo</t>
  </si>
  <si>
    <t>5) Considerar os elementos dinâmicos que modificam a estimativa anual de indivíduos com indicação de uso do dispositivo</t>
  </si>
  <si>
    <t>6) Considerar ajustes econômicos, quando apropriado</t>
  </si>
  <si>
    <t>7) Considerar potenciais economias que podem ser obtidas pela incorporação do dispositivo no sistema de saúde</t>
  </si>
  <si>
    <t>Valor da estimativa ecolhida para a presente análise (Indivíduos)</t>
  </si>
  <si>
    <t>Pedidos de reembolso (número de indivíduos - estimativa ou valor real atualizado)</t>
  </si>
  <si>
    <t>População de interesse:</t>
  </si>
  <si>
    <t>Método para estimar a população:</t>
  </si>
  <si>
    <t>Quantidade média de dispositivos por paciente:</t>
  </si>
  <si>
    <t>Total de dispositivos necessários:</t>
  </si>
  <si>
    <t>Dispositivo em estudo:</t>
  </si>
  <si>
    <t>Indicação para uso do dispositivo:</t>
  </si>
  <si>
    <t>Inflação média no período:</t>
  </si>
  <si>
    <t>Taxa de descontos:</t>
  </si>
  <si>
    <t>Correção do meio de ciclo?</t>
  </si>
  <si>
    <t>Perspectiva da análise:</t>
  </si>
  <si>
    <t>Impacto orçamentário em 1 ano</t>
  </si>
  <si>
    <t xml:space="preserve">    Análise de Impacto Orçamentário de Dispositivos Terapêuticos</t>
  </si>
  <si>
    <t>Sem ajustes econômicos</t>
  </si>
  <si>
    <t>Impacto orçamentário em 2 anos</t>
  </si>
  <si>
    <t>Impacto orçamentário em 3 anos</t>
  </si>
  <si>
    <t>Impacto orçamentário em 4 anos</t>
  </si>
  <si>
    <t>Impacto orçamentário em 5 anos</t>
  </si>
  <si>
    <t>Horizonte temporal (em anos):</t>
  </si>
  <si>
    <t>Evolução dos custos em 5 anos (impacto orçamentário cumulativo em 5 anos, sem ajustes econômicos)</t>
  </si>
  <si>
    <t>Evolução do número anual de implantes, em 5 anos</t>
  </si>
  <si>
    <t>iats2011</t>
  </si>
  <si>
    <t>São eventos aferidos em estudos clínicos e associados a custos que podem ser evitados pela adoção do dispositivo terapêutico</t>
  </si>
  <si>
    <t>Custo médio anual evitado para cada 100 pacientes tratados com o dispositivo (no ECR)</t>
  </si>
  <si>
    <t>Custos do implante</t>
  </si>
  <si>
    <t>Manutenção IC - anual</t>
  </si>
  <si>
    <t>Nome da condição clínica</t>
  </si>
  <si>
    <t>Subtipo da condição clínica para o qual o dispositivo é aplicável</t>
  </si>
  <si>
    <t>Marca / Modelo</t>
  </si>
  <si>
    <t>Prolonga a vida / Reduz internações / Reduz sintomas / Outro</t>
  </si>
  <si>
    <t>Nome do Ensaio Clínico</t>
  </si>
  <si>
    <t>Essa planilha facilita a execução de estudos de impacto orçamentário para implementação de dispositivos terapêuticos em um sistema de saúde.</t>
  </si>
  <si>
    <t>8) Estimar o impacto financeiro global da incorporação de um dispositivo terapêutico em um sistema de saúde</t>
  </si>
  <si>
    <t>(tipo de doença e circunstâncias do implante).</t>
  </si>
  <si>
    <t>Número total de dispositivos caso todos os pacientes recebessem implantes no ano 1</t>
  </si>
  <si>
    <t>Use essa opção caso não seja necessário um grau de detalhamento da composição do custo relacionado ao implante do dispositivo,</t>
  </si>
  <si>
    <t>Número diárias CTI</t>
  </si>
  <si>
    <t>Custos totais para a manutenção do dispositivo em 1 ano</t>
  </si>
  <si>
    <t>As informações requeridas quanto à frequência dos eventos deverão ser extraídas diretamente dos ensaios clínicos que demonstram a eficácia do dispositivo terapêutico</t>
  </si>
  <si>
    <t>Nome do estudo de onde se originam os dados:</t>
  </si>
  <si>
    <t>Número de EDGC para cada 100 pacientes do grupo controle</t>
  </si>
  <si>
    <t>Número de EDGC para cada 100 pacientes do grupo intervenção</t>
  </si>
  <si>
    <t>Número médio anual de EDGC evitados pelo uso do dispositivo (por 100 pacientes)</t>
  </si>
  <si>
    <t>Incorporação de Inflação e Descontos nos custos envolvidos ao implante e manutenção do dispositivo</t>
  </si>
  <si>
    <t>Custos relacionados ao implante no ano 1 não são ajustados para inflação ou descontos.</t>
  </si>
  <si>
    <t>somente se a opção "correção de meio de ciclo" for selecionada na aba "8-Ajustes econômicos"</t>
  </si>
  <si>
    <t>Custos relacionados ao implante dos dispositivos (por paciente)</t>
  </si>
  <si>
    <t>Estimativa do número de implantes por substituições</t>
  </si>
  <si>
    <t>a ter indicação de uso do dispositivo (% sobre a prevalência)?</t>
  </si>
  <si>
    <t xml:space="preserve">   Versão Janeiro de 2011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</si>
</sst>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_);_(* \(#,##0.0\);_(* &quot;-&quot;??_);_(@_)"/>
    <numFmt numFmtId="181" formatCode="_(* #,##0_);_(* \(#,##0\);_(* &quot;-&quot;??_);_(@_)"/>
    <numFmt numFmtId="182" formatCode="_(* #,##0.00000_);_(* \(#,##0.00000\);_(* &quot;-&quot;??_);_(@_)"/>
    <numFmt numFmtId="183" formatCode="_(* #,##0.0000_);_(* \(#,##0.0000\);_(* &quot;-&quot;????_);_(@_)"/>
    <numFmt numFmtId="184" formatCode="0.000%"/>
    <numFmt numFmtId="185" formatCode="0.0000%"/>
    <numFmt numFmtId="186" formatCode="0.0%"/>
    <numFmt numFmtId="187" formatCode="_(* #,##0.000_);_(* \(#,##0.000\);_(* &quot;-&quot;????_);_(@_)"/>
    <numFmt numFmtId="188" formatCode="_(* #,##0.00_);_(* \(#,##0.00\);_(* &quot;-&quot;????_);_(@_)"/>
    <numFmt numFmtId="189" formatCode="_(* #,##0.0_);_(* \(#,##0.0\);_(* &quot;-&quot;????_);_(@_)"/>
    <numFmt numFmtId="190" formatCode="_(* #,##0_);_(* \(#,##0\);_(* &quot;-&quot;????_);_(@_)"/>
    <numFmt numFmtId="191" formatCode="0.0"/>
    <numFmt numFmtId="192" formatCode="0.000"/>
    <numFmt numFmtId="193" formatCode="0.0000"/>
    <numFmt numFmtId="194" formatCode="0.00000"/>
    <numFmt numFmtId="195" formatCode="0.000000"/>
    <numFmt numFmtId="196" formatCode="0.0000000"/>
    <numFmt numFmtId="197" formatCode="#,##0.0"/>
    <numFmt numFmtId="198" formatCode="#,##0.000"/>
    <numFmt numFmtId="199" formatCode="_(&quot;R$ &quot;* #,##0.0_);_(&quot;R$ &quot;* \(#,##0.0\);_(&quot;R$ &quot;* &quot;-&quot;??_);_(@_)"/>
    <numFmt numFmtId="200" formatCode="_(&quot;R$ &quot;* #,##0_);_(&quot;R$ &quot;* \(#,##0\);_(&quot;R$ &quot;* &quot;-&quot;??_);_(@_)"/>
  </numFmts>
  <fonts count="5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7"/>
      <name val="Arial"/>
      <family val="0"/>
    </font>
    <font>
      <sz val="10"/>
      <color indexed="17"/>
      <name val="Arial"/>
      <family val="0"/>
    </font>
    <font>
      <b/>
      <sz val="14"/>
      <color indexed="17"/>
      <name val="Arial"/>
      <family val="2"/>
    </font>
    <font>
      <b/>
      <sz val="14"/>
      <name val="Arial"/>
      <family val="2"/>
    </font>
    <font>
      <sz val="14"/>
      <color indexed="10"/>
      <name val="Arial"/>
      <family val="0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0"/>
    </font>
    <font>
      <sz val="10"/>
      <name val="Menu6"/>
      <family val="0"/>
    </font>
    <font>
      <b/>
      <sz val="16"/>
      <name val="Arial"/>
      <family val="0"/>
    </font>
    <font>
      <sz val="1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/>
    </xf>
    <xf numFmtId="9" fontId="0" fillId="33" borderId="0" xfId="0" applyNumberFormat="1" applyFill="1" applyAlignment="1">
      <alignment horizontal="center"/>
    </xf>
    <xf numFmtId="181" fontId="0" fillId="33" borderId="0" xfId="62" applyNumberFormat="1" applyFont="1" applyFill="1" applyAlignment="1">
      <alignment horizontal="center"/>
    </xf>
    <xf numFmtId="181" fontId="0" fillId="34" borderId="0" xfId="0" applyNumberFormat="1" applyFill="1" applyAlignment="1">
      <alignment/>
    </xf>
    <xf numFmtId="190" fontId="0" fillId="34" borderId="0" xfId="0" applyNumberFormat="1" applyFill="1" applyAlignment="1">
      <alignment/>
    </xf>
    <xf numFmtId="171" fontId="0" fillId="34" borderId="0" xfId="62" applyFont="1" applyFill="1" applyAlignment="1">
      <alignment/>
    </xf>
    <xf numFmtId="181" fontId="0" fillId="34" borderId="0" xfId="62" applyNumberFormat="1" applyFont="1" applyFill="1" applyAlignment="1">
      <alignment/>
    </xf>
    <xf numFmtId="1" fontId="0" fillId="33" borderId="0" xfId="51" applyNumberFormat="1" applyFont="1" applyFill="1" applyAlignment="1">
      <alignment horizontal="center"/>
    </xf>
    <xf numFmtId="1" fontId="0" fillId="34" borderId="0" xfId="51" applyNumberFormat="1" applyFont="1" applyFill="1" applyAlignment="1">
      <alignment/>
    </xf>
    <xf numFmtId="181" fontId="5" fillId="34" borderId="0" xfId="62" applyNumberFormat="1" applyFont="1" applyFill="1" applyAlignment="1">
      <alignment horizontal="center"/>
    </xf>
    <xf numFmtId="181" fontId="5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2" fillId="34" borderId="0" xfId="0" applyFont="1" applyFill="1" applyAlignment="1">
      <alignment horizontal="center"/>
    </xf>
    <xf numFmtId="177" fontId="0" fillId="33" borderId="0" xfId="47" applyFont="1" applyFill="1" applyAlignment="1">
      <alignment/>
    </xf>
    <xf numFmtId="177" fontId="6" fillId="34" borderId="0" xfId="47" applyFont="1" applyFill="1" applyAlignment="1">
      <alignment/>
    </xf>
    <xf numFmtId="177" fontId="5" fillId="33" borderId="15" xfId="47" applyFont="1" applyFill="1" applyBorder="1" applyAlignment="1">
      <alignment/>
    </xf>
    <xf numFmtId="177" fontId="0" fillId="33" borderId="14" xfId="47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8" fillId="34" borderId="0" xfId="0" applyFont="1" applyFill="1" applyAlignment="1">
      <alignment/>
    </xf>
    <xf numFmtId="177" fontId="5" fillId="34" borderId="12" xfId="47" applyFont="1" applyFill="1" applyBorder="1" applyAlignment="1">
      <alignment/>
    </xf>
    <xf numFmtId="177" fontId="7" fillId="34" borderId="15" xfId="47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2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2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0" xfId="0" applyFill="1" applyBorder="1" applyAlignment="1">
      <alignment/>
    </xf>
    <xf numFmtId="0" fontId="11" fillId="34" borderId="19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0" fontId="0" fillId="33" borderId="0" xfId="51" applyNumberFormat="1" applyFont="1" applyFill="1" applyAlignment="1">
      <alignment/>
    </xf>
    <xf numFmtId="10" fontId="0" fillId="34" borderId="0" xfId="0" applyNumberFormat="1" applyFill="1" applyAlignment="1">
      <alignment/>
    </xf>
    <xf numFmtId="10" fontId="13" fillId="34" borderId="0" xfId="51" applyNumberFormat="1" applyFont="1" applyFill="1" applyAlignment="1">
      <alignment/>
    </xf>
    <xf numFmtId="10" fontId="13" fillId="34" borderId="0" xfId="0" applyNumberFormat="1" applyFont="1" applyFill="1" applyAlignment="1">
      <alignment/>
    </xf>
    <xf numFmtId="181" fontId="9" fillId="34" borderId="15" xfId="62" applyNumberFormat="1" applyFont="1" applyFill="1" applyBorder="1" applyAlignment="1">
      <alignment/>
    </xf>
    <xf numFmtId="0" fontId="6" fillId="34" borderId="0" xfId="0" applyFont="1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10" fillId="34" borderId="0" xfId="0" applyFont="1" applyFill="1" applyAlignment="1">
      <alignment/>
    </xf>
    <xf numFmtId="0" fontId="2" fillId="34" borderId="14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6" fillId="34" borderId="19" xfId="0" applyFont="1" applyFill="1" applyBorder="1" applyAlignment="1">
      <alignment/>
    </xf>
    <xf numFmtId="0" fontId="11" fillId="34" borderId="23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177" fontId="6" fillId="34" borderId="15" xfId="47" applyFont="1" applyFill="1" applyBorder="1" applyAlignment="1">
      <alignment/>
    </xf>
    <xf numFmtId="0" fontId="0" fillId="34" borderId="12" xfId="0" applyFill="1" applyBorder="1" applyAlignment="1">
      <alignment/>
    </xf>
    <xf numFmtId="10" fontId="6" fillId="34" borderId="0" xfId="51" applyNumberFormat="1" applyFont="1" applyFill="1" applyAlignment="1">
      <alignment/>
    </xf>
    <xf numFmtId="10" fontId="6" fillId="34" borderId="0" xfId="51" applyNumberFormat="1" applyFont="1" applyFill="1" applyAlignment="1">
      <alignment horizontal="center"/>
    </xf>
    <xf numFmtId="181" fontId="6" fillId="34" borderId="0" xfId="0" applyNumberFormat="1" applyFont="1" applyFill="1" applyAlignment="1">
      <alignment horizontal="center"/>
    </xf>
    <xf numFmtId="181" fontId="0" fillId="33" borderId="0" xfId="62" applyNumberFormat="1" applyFont="1" applyFill="1" applyAlignment="1">
      <alignment/>
    </xf>
    <xf numFmtId="0" fontId="0" fillId="0" borderId="0" xfId="0" applyBorder="1" applyAlignment="1">
      <alignment/>
    </xf>
    <xf numFmtId="177" fontId="0" fillId="34" borderId="0" xfId="0" applyNumberFormat="1" applyFill="1" applyAlignment="1">
      <alignment/>
    </xf>
    <xf numFmtId="0" fontId="0" fillId="34" borderId="16" xfId="0" applyFill="1" applyBorder="1" applyAlignment="1">
      <alignment/>
    </xf>
    <xf numFmtId="177" fontId="0" fillId="34" borderId="19" xfId="0" applyNumberFormat="1" applyFill="1" applyBorder="1" applyAlignment="1">
      <alignment/>
    </xf>
    <xf numFmtId="177" fontId="0" fillId="34" borderId="17" xfId="0" applyNumberFormat="1" applyFill="1" applyBorder="1" applyAlignment="1">
      <alignment/>
    </xf>
    <xf numFmtId="177" fontId="0" fillId="34" borderId="19" xfId="47" applyFont="1" applyFill="1" applyBorder="1" applyAlignment="1">
      <alignment/>
    </xf>
    <xf numFmtId="177" fontId="0" fillId="34" borderId="23" xfId="0" applyNumberFormat="1" applyFill="1" applyBorder="1" applyAlignment="1">
      <alignment/>
    </xf>
    <xf numFmtId="0" fontId="0" fillId="34" borderId="10" xfId="0" applyFill="1" applyBorder="1" applyAlignment="1">
      <alignment/>
    </xf>
    <xf numFmtId="177" fontId="0" fillId="34" borderId="0" xfId="0" applyNumberFormat="1" applyFill="1" applyBorder="1" applyAlignment="1">
      <alignment/>
    </xf>
    <xf numFmtId="177" fontId="0" fillId="34" borderId="0" xfId="47" applyFont="1" applyFill="1" applyBorder="1" applyAlignment="1">
      <alignment/>
    </xf>
    <xf numFmtId="0" fontId="0" fillId="34" borderId="24" xfId="0" applyFill="1" applyBorder="1" applyAlignment="1">
      <alignment/>
    </xf>
    <xf numFmtId="0" fontId="6" fillId="34" borderId="19" xfId="0" applyFont="1" applyFill="1" applyBorder="1" applyAlignment="1">
      <alignment/>
    </xf>
    <xf numFmtId="177" fontId="6" fillId="34" borderId="19" xfId="47" applyNumberFormat="1" applyFont="1" applyFill="1" applyBorder="1" applyAlignment="1">
      <alignment/>
    </xf>
    <xf numFmtId="177" fontId="6" fillId="34" borderId="23" xfId="47" applyNumberFormat="1" applyFont="1" applyFill="1" applyBorder="1" applyAlignment="1">
      <alignment/>
    </xf>
    <xf numFmtId="177" fontId="6" fillId="34" borderId="19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86" fontId="0" fillId="0" borderId="0" xfId="0" applyNumberFormat="1" applyFont="1" applyBorder="1" applyAlignment="1">
      <alignment horizontal="left"/>
    </xf>
    <xf numFmtId="186" fontId="0" fillId="0" borderId="0" xfId="51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right"/>
    </xf>
    <xf numFmtId="44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right"/>
    </xf>
    <xf numFmtId="44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/>
    </xf>
    <xf numFmtId="44" fontId="0" fillId="0" borderId="22" xfId="0" applyNumberFormat="1" applyFont="1" applyBorder="1" applyAlignment="1">
      <alignment horizontal="center"/>
    </xf>
    <xf numFmtId="9" fontId="0" fillId="0" borderId="22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0" xfId="62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177" fontId="0" fillId="0" borderId="0" xfId="0" applyNumberFormat="1" applyFill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77" fontId="0" fillId="0" borderId="22" xfId="0" applyNumberFormat="1" applyFill="1" applyBorder="1" applyAlignment="1">
      <alignment/>
    </xf>
    <xf numFmtId="0" fontId="0" fillId="0" borderId="25" xfId="0" applyBorder="1" applyAlignment="1">
      <alignment/>
    </xf>
    <xf numFmtId="0" fontId="2" fillId="0" borderId="21" xfId="0" applyFont="1" applyBorder="1" applyAlignment="1">
      <alignment/>
    </xf>
    <xf numFmtId="9" fontId="6" fillId="34" borderId="0" xfId="51" applyFont="1" applyFill="1" applyAlignment="1">
      <alignment horizontal="center"/>
    </xf>
    <xf numFmtId="177" fontId="11" fillId="34" borderId="19" xfId="47" applyFont="1" applyFill="1" applyBorder="1" applyAlignment="1">
      <alignment horizontal="center"/>
    </xf>
    <xf numFmtId="0" fontId="0" fillId="34" borderId="14" xfId="0" applyFont="1" applyFill="1" applyBorder="1" applyAlignment="1" applyProtection="1">
      <alignment horizontal="center"/>
      <protection locked="0"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12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14" fillId="34" borderId="14" xfId="0" applyFont="1" applyFill="1" applyBorder="1" applyAlignment="1" applyProtection="1">
      <alignment horizontal="center"/>
      <protection/>
    </xf>
    <xf numFmtId="9" fontId="0" fillId="34" borderId="0" xfId="0" applyNumberFormat="1" applyFill="1" applyAlignment="1" applyProtection="1">
      <alignment/>
      <protection/>
    </xf>
    <xf numFmtId="0" fontId="15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/>
      <protection/>
    </xf>
    <xf numFmtId="177" fontId="0" fillId="34" borderId="0" xfId="0" applyNumberFormat="1" applyFont="1" applyFill="1" applyAlignment="1" applyProtection="1">
      <alignment horizontal="center"/>
      <protection/>
    </xf>
    <xf numFmtId="0" fontId="6" fillId="34" borderId="0" xfId="0" applyFont="1" applyFill="1" applyAlignment="1">
      <alignment horizontal="left"/>
    </xf>
    <xf numFmtId="2" fontId="6" fillId="34" borderId="0" xfId="0" applyNumberFormat="1" applyFont="1" applyFill="1" applyAlignment="1">
      <alignment horizontal="left"/>
    </xf>
    <xf numFmtId="186" fontId="0" fillId="33" borderId="0" xfId="0" applyNumberFormat="1" applyFill="1" applyAlignment="1">
      <alignment horizontal="center"/>
    </xf>
    <xf numFmtId="10" fontId="0" fillId="33" borderId="0" xfId="0" applyNumberFormat="1" applyFill="1" applyAlignment="1">
      <alignment horizontal="center"/>
    </xf>
    <xf numFmtId="10" fontId="0" fillId="33" borderId="0" xfId="51" applyNumberFormat="1" applyFont="1" applyFill="1" applyAlignment="1">
      <alignment horizontal="center"/>
    </xf>
    <xf numFmtId="10" fontId="0" fillId="33" borderId="0" xfId="51" applyNumberFormat="1" applyFont="1" applyFill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186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"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Impacto orçamentário cumulativo e taxa anual de incorporação do dispositivo terapêutico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25375"/>
          <c:w val="0.7495"/>
          <c:h val="0.63725"/>
        </c:manualLayout>
      </c:layout>
      <c:barChart>
        <c:barDir val="col"/>
        <c:grouping val="clustered"/>
        <c:varyColors val="0"/>
        <c:ser>
          <c:idx val="1"/>
          <c:order val="0"/>
          <c:tx>
            <c:v>Taxa de incorporação do dispositivo (pacientes/ano)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Programação!$A$32:$A$36</c:f>
              <c:strCache>
                <c:ptCount val="5"/>
                <c:pt idx="0">
                  <c:v>Ano 1</c:v>
                </c:pt>
                <c:pt idx="1">
                  <c:v>Ano 2</c:v>
                </c:pt>
                <c:pt idx="2">
                  <c:v>Ano 3</c:v>
                </c:pt>
                <c:pt idx="3">
                  <c:v>Ano 4</c:v>
                </c:pt>
                <c:pt idx="4">
                  <c:v>Ano 5</c:v>
                </c:pt>
              </c:strCache>
            </c:strRef>
          </c:cat>
          <c:val>
            <c:numRef>
              <c:f>Programação!$B$32:$B$36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5741115"/>
        <c:axId val="7452308"/>
      </c:barChart>
      <c:lineChart>
        <c:grouping val="standard"/>
        <c:varyColors val="0"/>
        <c:ser>
          <c:idx val="0"/>
          <c:order val="1"/>
          <c:tx>
            <c:v>Impacto Orçamentário</c:v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val>
            <c:numRef>
              <c:f>Programação!$B$24:$B$28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67070773"/>
        <c:axId val="66766046"/>
      </c:lineChart>
      <c:catAx>
        <c:axId val="157411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452308"/>
        <c:crosses val="autoZero"/>
        <c:auto val="0"/>
        <c:lblOffset val="100"/>
        <c:tickLblSkip val="1"/>
        <c:noMultiLvlLbl val="0"/>
      </c:catAx>
      <c:valAx>
        <c:axId val="7452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Indivíduos</a:t>
                </a:r>
              </a:p>
            </c:rich>
          </c:tx>
          <c:layout>
            <c:manualLayout>
              <c:xMode val="factor"/>
              <c:yMode val="factor"/>
              <c:x val="-0.016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741115"/>
        <c:crossesAt val="1"/>
        <c:crossBetween val="between"/>
        <c:dispUnits/>
      </c:valAx>
      <c:catAx>
        <c:axId val="67070773"/>
        <c:scaling>
          <c:orientation val="minMax"/>
        </c:scaling>
        <c:axPos val="b"/>
        <c:delete val="1"/>
        <c:majorTickMark val="out"/>
        <c:minorTickMark val="none"/>
        <c:tickLblPos val="nextTo"/>
        <c:crossAx val="66766046"/>
        <c:crosses val="autoZero"/>
        <c:auto val="0"/>
        <c:lblOffset val="100"/>
        <c:tickLblSkip val="1"/>
        <c:noMultiLvlLbl val="0"/>
      </c:catAx>
      <c:valAx>
        <c:axId val="66766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Impacto Orçamentário</a:t>
                </a:r>
              </a:p>
            </c:rich>
          </c:tx>
          <c:layout>
            <c:manualLayout>
              <c:xMode val="factor"/>
              <c:yMode val="factor"/>
              <c:x val="-0.067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707077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85"/>
          <c:y val="0.92525"/>
          <c:w val="0.9815"/>
          <c:h val="0.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0</xdr:rowOff>
    </xdr:from>
    <xdr:to>
      <xdr:col>5</xdr:col>
      <xdr:colOff>76200</xdr:colOff>
      <xdr:row>22</xdr:row>
      <xdr:rowOff>28575</xdr:rowOff>
    </xdr:to>
    <xdr:graphicFrame>
      <xdr:nvGraphicFramePr>
        <xdr:cNvPr id="1" name="Chart 2"/>
        <xdr:cNvGraphicFramePr/>
      </xdr:nvGraphicFramePr>
      <xdr:xfrm>
        <a:off x="5105400" y="419100"/>
        <a:ext cx="52482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2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6384" width="9.140625" style="3" customWidth="1"/>
  </cols>
  <sheetData>
    <row r="2" spans="2:18" ht="18">
      <c r="B2" s="152" t="s">
        <v>0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ht="12.75">
      <c r="D3" s="151" t="s">
        <v>290</v>
      </c>
    </row>
    <row r="12" ht="12.75">
      <c r="B12" s="4" t="s">
        <v>1</v>
      </c>
    </row>
    <row r="14" ht="12.75">
      <c r="B14" s="3" t="s">
        <v>272</v>
      </c>
    </row>
    <row r="16" ht="12.75">
      <c r="B16" s="3" t="s">
        <v>2</v>
      </c>
    </row>
    <row r="18" ht="12.75">
      <c r="B18" s="3" t="s">
        <v>3</v>
      </c>
    </row>
    <row r="19" ht="12.75">
      <c r="B19" s="3" t="s">
        <v>4</v>
      </c>
    </row>
    <row r="20" ht="12.75">
      <c r="B20" s="3" t="s">
        <v>5</v>
      </c>
    </row>
    <row r="21" ht="12.75">
      <c r="B21" s="3" t="s">
        <v>6</v>
      </c>
    </row>
    <row r="22" ht="12.75">
      <c r="B22" s="3" t="s">
        <v>7</v>
      </c>
    </row>
    <row r="24" ht="12.75">
      <c r="B24" s="3" t="s">
        <v>8</v>
      </c>
    </row>
    <row r="25" ht="12.75">
      <c r="B25" s="3" t="s">
        <v>235</v>
      </c>
    </row>
    <row r="26" ht="12.75">
      <c r="B26" s="3" t="s">
        <v>9</v>
      </c>
    </row>
    <row r="27" ht="12.75">
      <c r="B27" s="3" t="s">
        <v>10</v>
      </c>
    </row>
    <row r="28" ht="12.75">
      <c r="B28" s="3" t="s">
        <v>236</v>
      </c>
    </row>
    <row r="29" ht="12.75">
      <c r="B29" s="3" t="s">
        <v>237</v>
      </c>
    </row>
    <row r="30" ht="12.75">
      <c r="B30" s="3" t="s">
        <v>238</v>
      </c>
    </row>
    <row r="31" ht="12.75">
      <c r="B31" s="3" t="s">
        <v>239</v>
      </c>
    </row>
    <row r="32" ht="12.75">
      <c r="B32" s="3" t="s">
        <v>273</v>
      </c>
    </row>
  </sheetData>
  <sheetProtection/>
  <mergeCells count="1">
    <mergeCell ref="B2:R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42"/>
  <sheetViews>
    <sheetView zoomScalePageLayoutView="0" workbookViewId="0" topLeftCell="B7">
      <selection activeCell="H20" sqref="H20"/>
    </sheetView>
  </sheetViews>
  <sheetFormatPr defaultColWidth="9.140625" defaultRowHeight="12.75"/>
  <cols>
    <col min="1" max="1" width="4.00390625" style="3" customWidth="1"/>
    <col min="2" max="2" width="60.00390625" style="3" customWidth="1"/>
    <col min="3" max="3" width="20.421875" style="3" customWidth="1"/>
    <col min="4" max="4" width="15.421875" style="143" customWidth="1"/>
    <col min="5" max="5" width="17.421875" style="143" customWidth="1"/>
    <col min="6" max="6" width="19.28125" style="143" customWidth="1"/>
    <col min="7" max="7" width="9.140625" style="3" customWidth="1"/>
    <col min="8" max="8" width="13.28125" style="3" bestFit="1" customWidth="1"/>
    <col min="9" max="16384" width="9.140625" style="3" customWidth="1"/>
  </cols>
  <sheetData>
    <row r="1" ht="12.75">
      <c r="B1" s="3" t="s">
        <v>221</v>
      </c>
    </row>
    <row r="3" ht="12.75">
      <c r="B3" s="3" t="s">
        <v>285</v>
      </c>
    </row>
    <row r="5" ht="12.75">
      <c r="B5" s="3" t="s">
        <v>212</v>
      </c>
    </row>
    <row r="6" ht="12.75">
      <c r="B6" s="3" t="s">
        <v>286</v>
      </c>
    </row>
    <row r="10" spans="2:6" ht="12.75">
      <c r="B10" s="24" t="s">
        <v>216</v>
      </c>
      <c r="D10" s="143" t="s">
        <v>76</v>
      </c>
      <c r="E10" s="143" t="s">
        <v>213</v>
      </c>
      <c r="F10" s="143" t="s">
        <v>214</v>
      </c>
    </row>
    <row r="11" spans="2:6" ht="12.75">
      <c r="B11" s="75" t="s">
        <v>287</v>
      </c>
      <c r="C11" s="77">
        <f>'5-Custos Implante'!$C$5</f>
        <v>0</v>
      </c>
      <c r="D11" s="143" t="str">
        <f>Programação!$D$18</f>
        <v>Sem ajuste</v>
      </c>
      <c r="E11" s="143" t="str">
        <f>Programação!$D$18</f>
        <v>Sem ajuste</v>
      </c>
      <c r="F11" s="143" t="str">
        <f>Programação!$D$18</f>
        <v>Sem ajuste</v>
      </c>
    </row>
    <row r="12" spans="2:6" ht="12.75">
      <c r="B12" s="41" t="s">
        <v>208</v>
      </c>
      <c r="C12" s="78">
        <f>'6-Custos  Manuntenção'!$C$31</f>
        <v>0</v>
      </c>
      <c r="D12" s="144" t="str">
        <f>IF('8-Ajustes econômicos'!$H$7=Programação!$D$6,C12+('8-Ajustes econômicos'!$K$7*'9-Evolução de Valores'!C12),'9-Evolução de Valores'!$D$11)</f>
        <v>Sem ajuste</v>
      </c>
      <c r="E12" s="144" t="str">
        <f>IF('8-Ajustes econômicos'!$H$7=Programação!$D$6,C12-('8-Ajustes econômicos'!$K$13*'9-Evolução de Valores'!C12),'9-Evolução de Valores'!$D$11)</f>
        <v>Sem ajuste</v>
      </c>
      <c r="F12" s="144" t="str">
        <f>IF(D12=D11,D12,(C12+(D12-C12)-(C12-E12)))</f>
        <v>Sem ajuste</v>
      </c>
    </row>
    <row r="13" spans="2:6" ht="12.75">
      <c r="B13" s="41" t="s">
        <v>190</v>
      </c>
      <c r="C13" s="76">
        <f>C11+C12</f>
        <v>0</v>
      </c>
      <c r="D13" s="144" t="str">
        <f>IF('8-Ajustes econômicos'!$H$7=Programação!$D$6,C13+('8-Ajustes econômicos'!$K$7*'9-Evolução de Valores'!C13),'9-Evolução de Valores'!$D$11)</f>
        <v>Sem ajuste</v>
      </c>
      <c r="E13" s="144" t="str">
        <f>IF('8-Ajustes econômicos'!$H$7=Programação!$D$6,C13-('8-Ajustes econômicos'!$K$13*'9-Evolução de Valores'!C13),'9-Evolução de Valores'!$D$11)</f>
        <v>Sem ajuste</v>
      </c>
      <c r="F13" s="144" t="str">
        <f>IF(D13=D12,D13,(C13+(D13-C13)-(C13-E13)))</f>
        <v>Sem ajuste</v>
      </c>
    </row>
    <row r="14" spans="2:6" ht="12.75">
      <c r="B14" s="42" t="s">
        <v>181</v>
      </c>
      <c r="C14" s="79">
        <f>'7-Possíveis Economias'!$J$4/100</f>
        <v>0</v>
      </c>
      <c r="D14" s="144" t="str">
        <f>IF('8-Ajustes econômicos'!$H$7=Programação!$D$6,C14+('8-Ajustes econômicos'!$K$7*'9-Evolução de Valores'!C14),'9-Evolução de Valores'!$D$11)</f>
        <v>Sem ajuste</v>
      </c>
      <c r="E14" s="144" t="str">
        <f>IF('8-Ajustes econômicos'!$H$7=Programação!$D$6,C14-('8-Ajustes econômicos'!$K$13*'9-Evolução de Valores'!C14),'9-Evolução de Valores'!$D$11)</f>
        <v>Sem ajuste</v>
      </c>
      <c r="F14" s="144" t="str">
        <f>IF(D14=D13,D14,(C14+(D14-C14)-(C14-E14)))</f>
        <v>Sem ajuste</v>
      </c>
    </row>
    <row r="17" spans="2:6" ht="12.75">
      <c r="B17" s="24" t="s">
        <v>217</v>
      </c>
      <c r="D17" s="143" t="s">
        <v>76</v>
      </c>
      <c r="E17" s="143" t="s">
        <v>213</v>
      </c>
      <c r="F17" s="143" t="s">
        <v>214</v>
      </c>
    </row>
    <row r="18" spans="2:6" ht="12.75">
      <c r="B18" s="80" t="s">
        <v>287</v>
      </c>
      <c r="C18" s="81"/>
      <c r="D18" s="144">
        <f>(IF(D11=Programação!D18,C11,D11))+((IF(D11=Programação!D18,C11,D11))*'8-Ajustes econômicos'!K8)</f>
        <v>0</v>
      </c>
      <c r="E18" s="144">
        <f>(IF(E11=Programação!D18,C11,E11))-((IF(E11=Programação!D18,C11,E11))*('8-Ajustes econômicos'!K13))</f>
        <v>0</v>
      </c>
      <c r="F18" s="144">
        <f>(IF(D11=Programação!D18,C11,D11))+(D18-(IF(D11=Programação!D18,C11,D11))-((IF(D11=Programação!D18,C11,D11))-E18))</f>
        <v>0</v>
      </c>
    </row>
    <row r="19" spans="2:6" ht="12.75">
      <c r="B19" s="19" t="s">
        <v>208</v>
      </c>
      <c r="C19" s="82"/>
      <c r="D19" s="144">
        <f>(IF(D12=Programação!$D$18,C12,D12))+((IF(D12=Programação!$D$18,C12,D12))*'8-Ajustes econômicos'!$K$8)</f>
        <v>0</v>
      </c>
      <c r="E19" s="144">
        <f>(IF(D12=Programação!$D$18,C12,D12))-((IF(D12=Programação!$D$18,C12,D12))*'8-Ajustes econômicos'!$K$13)</f>
        <v>0</v>
      </c>
      <c r="F19" s="144">
        <f>(IF(D12=Programação!$D$18,C12,D12))+(D19-(IF(D12=Programação!$D$18,C12,D12))-((IF(D12=Programação!$D$18,C12,D12))-E19))</f>
        <v>0</v>
      </c>
    </row>
    <row r="20" spans="2:6" ht="12.75">
      <c r="B20" s="19" t="s">
        <v>190</v>
      </c>
      <c r="C20" s="81"/>
      <c r="D20" s="144">
        <f>(IF(D13=Programação!$D$18,C13,D13))+((IF(D13=Programação!$D$18,C13,D13))*'8-Ajustes econômicos'!$K$8)</f>
        <v>0</v>
      </c>
      <c r="E20" s="144">
        <f>(IF(D13=Programação!$D$18,C13,D13))-((IF(D13=Programação!$D$18,C13,D13))*'8-Ajustes econômicos'!$K$13)</f>
        <v>0</v>
      </c>
      <c r="F20" s="144">
        <f>(IF(D13=Programação!$D$18,C13,D13))+(D20-(IF(D13=Programação!$D$18,C13,D13))-((IF(D13=Programação!$D$18,C13,D13))-E20))</f>
        <v>0</v>
      </c>
    </row>
    <row r="21" spans="2:6" ht="12.75">
      <c r="B21" s="83" t="s">
        <v>181</v>
      </c>
      <c r="C21" s="81"/>
      <c r="D21" s="144">
        <f>(IF(D14=Programação!$D$18,C14,D14))+((IF(D14=Programação!$D$18,C14,D14))*'8-Ajustes econômicos'!$K$8)</f>
        <v>0</v>
      </c>
      <c r="E21" s="144">
        <f>(IF(D14=Programação!$D$18,C14,D14))-((IF(D14=Programação!$D$18,C14,D14))*'8-Ajustes econômicos'!$K$13)</f>
        <v>0</v>
      </c>
      <c r="F21" s="144">
        <f>(IF(D14=Programação!$D$18,C14,D14))+(D21-(IF(D14=Programação!$D$18,C14,D14))-((IF(D14=Programação!$D$18,C14,D14))-E21))</f>
        <v>0</v>
      </c>
    </row>
    <row r="22" ht="12.75">
      <c r="C22" s="44"/>
    </row>
    <row r="23" ht="12.75">
      <c r="C23" s="44"/>
    </row>
    <row r="24" spans="2:6" ht="12.75">
      <c r="B24" s="24" t="s">
        <v>218</v>
      </c>
      <c r="C24" s="44"/>
      <c r="D24" s="143" t="s">
        <v>76</v>
      </c>
      <c r="E24" s="143" t="s">
        <v>213</v>
      </c>
      <c r="F24" s="143" t="s">
        <v>214</v>
      </c>
    </row>
    <row r="25" spans="2:6" ht="12.75">
      <c r="B25" s="80" t="s">
        <v>180</v>
      </c>
      <c r="C25" s="81"/>
      <c r="D25" s="144">
        <f>D18+(D18*'8-Ajustes econômicos'!$K$9)</f>
        <v>0</v>
      </c>
      <c r="E25" s="144">
        <f>E18-(E18*'8-Ajustes econômicos'!$K$13)</f>
        <v>0</v>
      </c>
      <c r="F25" s="144">
        <f>F18+(F18*'8-Ajustes econômicos'!$K$9)-(F18*'8-Ajustes econômicos'!$K$13)</f>
        <v>0</v>
      </c>
    </row>
    <row r="26" spans="2:6" ht="12.75">
      <c r="B26" s="19" t="s">
        <v>208</v>
      </c>
      <c r="C26" s="82"/>
      <c r="D26" s="144">
        <f>D19+(D19*'8-Ajustes econômicos'!$K$9)</f>
        <v>0</v>
      </c>
      <c r="E26" s="144">
        <f>E19-(E19*'8-Ajustes econômicos'!$K$13)</f>
        <v>0</v>
      </c>
      <c r="F26" s="144">
        <f>F19+(F19*'8-Ajustes econômicos'!$K$9)-(F19*'8-Ajustes econômicos'!$K$13)</f>
        <v>0</v>
      </c>
    </row>
    <row r="27" spans="2:6" ht="12.75">
      <c r="B27" s="19" t="s">
        <v>190</v>
      </c>
      <c r="C27" s="81"/>
      <c r="D27" s="144">
        <f>D20+(D20*'8-Ajustes econômicos'!$K$9)</f>
        <v>0</v>
      </c>
      <c r="E27" s="144">
        <f>E20-(E20*'8-Ajustes econômicos'!$K$13)</f>
        <v>0</v>
      </c>
      <c r="F27" s="144">
        <f>F20+(F20*'8-Ajustes econômicos'!$K$9)-(F20*'8-Ajustes econômicos'!$K$13)</f>
        <v>0</v>
      </c>
    </row>
    <row r="28" spans="2:6" ht="12.75">
      <c r="B28" s="83" t="s">
        <v>181</v>
      </c>
      <c r="C28" s="81"/>
      <c r="D28" s="144">
        <f>D21+(D21*'8-Ajustes econômicos'!$K$9)</f>
        <v>0</v>
      </c>
      <c r="E28" s="144">
        <f>E21-(E21*'8-Ajustes econômicos'!$K$13)</f>
        <v>0</v>
      </c>
      <c r="F28" s="144">
        <f>F21+(F21*'8-Ajustes econômicos'!$K$9)-(F21*'8-Ajustes econômicos'!$K$13)</f>
        <v>0</v>
      </c>
    </row>
    <row r="29" ht="12.75">
      <c r="C29" s="44"/>
    </row>
    <row r="30" ht="12.75">
      <c r="C30" s="44"/>
    </row>
    <row r="31" spans="2:6" ht="12.75">
      <c r="B31" s="24" t="s">
        <v>219</v>
      </c>
      <c r="C31" s="44"/>
      <c r="D31" s="143" t="s">
        <v>76</v>
      </c>
      <c r="E31" s="143" t="s">
        <v>213</v>
      </c>
      <c r="F31" s="143" t="s">
        <v>214</v>
      </c>
    </row>
    <row r="32" spans="2:6" ht="12.75">
      <c r="B32" s="80" t="s">
        <v>287</v>
      </c>
      <c r="C32" s="81"/>
      <c r="D32" s="144">
        <f>D25+(D25*'8-Ajustes econômicos'!$K$10)</f>
        <v>0</v>
      </c>
      <c r="E32" s="144">
        <f>E25-(E25*'8-Ajustes econômicos'!$K$13)</f>
        <v>0</v>
      </c>
      <c r="F32" s="144">
        <f>F25+(F25*'8-Ajustes econômicos'!$K$10)-(F25*'8-Ajustes econômicos'!$K$13)</f>
        <v>0</v>
      </c>
    </row>
    <row r="33" spans="2:6" ht="12.75">
      <c r="B33" s="19" t="s">
        <v>208</v>
      </c>
      <c r="C33" s="82"/>
      <c r="D33" s="144">
        <f>D26+(D26*'8-Ajustes econômicos'!$K$10)</f>
        <v>0</v>
      </c>
      <c r="E33" s="144">
        <f>E26-(E26*'8-Ajustes econômicos'!$K$13)</f>
        <v>0</v>
      </c>
      <c r="F33" s="144">
        <f>F26+(F26*'8-Ajustes econômicos'!$K$10)-(F26*'8-Ajustes econômicos'!$K$13)</f>
        <v>0</v>
      </c>
    </row>
    <row r="34" spans="2:6" ht="12.75">
      <c r="B34" s="19" t="s">
        <v>190</v>
      </c>
      <c r="C34" s="81"/>
      <c r="D34" s="144">
        <f>D27+(D27*'8-Ajustes econômicos'!$K$10)</f>
        <v>0</v>
      </c>
      <c r="E34" s="144">
        <f>E27-(E27*'8-Ajustes econômicos'!$K$13)</f>
        <v>0</v>
      </c>
      <c r="F34" s="144">
        <f>F27+(F27*'8-Ajustes econômicos'!$K$10)-(F27*'8-Ajustes econômicos'!$K$13)</f>
        <v>0</v>
      </c>
    </row>
    <row r="35" spans="2:6" ht="12.75">
      <c r="B35" s="83" t="s">
        <v>181</v>
      </c>
      <c r="C35" s="81"/>
      <c r="D35" s="144">
        <f>D28+(D28*'8-Ajustes econômicos'!$K$10)</f>
        <v>0</v>
      </c>
      <c r="E35" s="144">
        <f>E28-(E28*'8-Ajustes econômicos'!$K$13)</f>
        <v>0</v>
      </c>
      <c r="F35" s="144">
        <f>F28+(F28*'8-Ajustes econômicos'!$K$10)-(F28*'8-Ajustes econômicos'!$K$13)</f>
        <v>0</v>
      </c>
    </row>
    <row r="38" spans="2:6" ht="12.75">
      <c r="B38" s="24" t="s">
        <v>220</v>
      </c>
      <c r="D38" s="143" t="s">
        <v>76</v>
      </c>
      <c r="E38" s="143" t="s">
        <v>213</v>
      </c>
      <c r="F38" s="143" t="s">
        <v>214</v>
      </c>
    </row>
    <row r="39" spans="2:6" ht="12.75">
      <c r="B39" s="80" t="s">
        <v>287</v>
      </c>
      <c r="C39" s="81"/>
      <c r="D39" s="144">
        <f>D32+(D32*'8-Ajustes econômicos'!$K$11)</f>
        <v>0</v>
      </c>
      <c r="E39" s="144">
        <f>E32-(E32*'8-Ajustes econômicos'!$K$13)</f>
        <v>0</v>
      </c>
      <c r="F39" s="144">
        <f>F32+(F32*'8-Ajustes econômicos'!$K$11)-(F32*'8-Ajustes econômicos'!$K$13)</f>
        <v>0</v>
      </c>
    </row>
    <row r="40" spans="2:6" ht="12.75">
      <c r="B40" s="19" t="s">
        <v>208</v>
      </c>
      <c r="C40" s="82"/>
      <c r="D40" s="144">
        <f>D33+(D33*'8-Ajustes econômicos'!$K$11)</f>
        <v>0</v>
      </c>
      <c r="E40" s="144">
        <f>E33-(E33*'8-Ajustes econômicos'!$K$13)</f>
        <v>0</v>
      </c>
      <c r="F40" s="144">
        <f>F33+(F33*'8-Ajustes econômicos'!$K$11)-(F33*'8-Ajustes econômicos'!$K$13)</f>
        <v>0</v>
      </c>
    </row>
    <row r="41" spans="2:6" ht="12.75">
      <c r="B41" s="19" t="s">
        <v>190</v>
      </c>
      <c r="C41" s="81"/>
      <c r="D41" s="144">
        <f>D34+(D34*'8-Ajustes econômicos'!$K$11)</f>
        <v>0</v>
      </c>
      <c r="E41" s="144">
        <f>E34-(E34*'8-Ajustes econômicos'!$K$13)</f>
        <v>0</v>
      </c>
      <c r="F41" s="144">
        <f>F34+(F34*'8-Ajustes econômicos'!$K$11)-(F34*'8-Ajustes econômicos'!$K$13)</f>
        <v>0</v>
      </c>
    </row>
    <row r="42" spans="2:6" ht="12.75">
      <c r="B42" s="83" t="s">
        <v>181</v>
      </c>
      <c r="C42" s="81"/>
      <c r="D42" s="144">
        <f>D35+(D35*'8-Ajustes econômicos'!$K$11)</f>
        <v>0</v>
      </c>
      <c r="E42" s="144">
        <f>E35-(E35*'8-Ajustes econômicos'!$K$13)</f>
        <v>0</v>
      </c>
      <c r="F42" s="144">
        <f>F35+(F35*'8-Ajustes econômicos'!$K$11)-(F35*'8-Ajustes econômicos'!$K$13)</f>
        <v>0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48"/>
  <sheetViews>
    <sheetView zoomScalePageLayoutView="0" workbookViewId="0" topLeftCell="L1">
      <selection activeCell="N36" sqref="N36"/>
    </sheetView>
  </sheetViews>
  <sheetFormatPr defaultColWidth="9.140625" defaultRowHeight="12.75"/>
  <cols>
    <col min="1" max="1" width="3.8515625" style="3" customWidth="1"/>
    <col min="2" max="2" width="47.421875" style="3" customWidth="1"/>
    <col min="3" max="3" width="24.421875" style="3" customWidth="1"/>
    <col min="4" max="4" width="9.140625" style="3" customWidth="1"/>
    <col min="5" max="5" width="56.7109375" style="3" customWidth="1"/>
    <col min="6" max="6" width="21.00390625" style="3" customWidth="1"/>
    <col min="7" max="7" width="9.140625" style="3" customWidth="1"/>
    <col min="8" max="8" width="51.421875" style="3" customWidth="1"/>
    <col min="9" max="9" width="19.28125" style="3" customWidth="1"/>
    <col min="10" max="10" width="4.140625" style="3" customWidth="1"/>
    <col min="11" max="11" width="45.7109375" style="3" customWidth="1"/>
    <col min="12" max="12" width="32.421875" style="3" customWidth="1"/>
    <col min="13" max="13" width="3.7109375" style="3" customWidth="1"/>
    <col min="14" max="14" width="45.8515625" style="3" customWidth="1"/>
    <col min="15" max="15" width="24.7109375" style="3" customWidth="1"/>
    <col min="16" max="16384" width="9.140625" style="3" customWidth="1"/>
  </cols>
  <sheetData>
    <row r="1" ht="12.75">
      <c r="B1" s="4" t="s">
        <v>234</v>
      </c>
    </row>
    <row r="3" spans="2:15" ht="12.75">
      <c r="B3" s="75" t="s">
        <v>68</v>
      </c>
      <c r="C3" s="38"/>
      <c r="E3" s="75" t="s">
        <v>69</v>
      </c>
      <c r="F3" s="38"/>
      <c r="H3" s="75" t="s">
        <v>70</v>
      </c>
      <c r="I3" s="38"/>
      <c r="K3" s="75" t="s">
        <v>200</v>
      </c>
      <c r="L3" s="38"/>
      <c r="N3" s="75" t="s">
        <v>72</v>
      </c>
      <c r="O3" s="38"/>
    </row>
    <row r="4" spans="2:15" ht="12.75">
      <c r="B4" s="41"/>
      <c r="C4" s="40"/>
      <c r="E4" s="41"/>
      <c r="F4" s="40"/>
      <c r="H4" s="41"/>
      <c r="I4" s="40"/>
      <c r="K4" s="41"/>
      <c r="L4" s="40"/>
      <c r="N4" s="41"/>
      <c r="O4" s="40"/>
    </row>
    <row r="5" spans="2:15" ht="12.75">
      <c r="B5" s="41" t="s">
        <v>172</v>
      </c>
      <c r="C5" s="84">
        <f>IF('3-Dinâmica dos Implantes'!D7=0,'3-Dinâmica dos Implantes'!D4,'3-Dinâmica dos Implantes'!D7)</f>
        <v>0</v>
      </c>
      <c r="E5" s="41" t="s">
        <v>183</v>
      </c>
      <c r="F5" s="84">
        <f>IF('3-Dinâmica dos Implantes'!$D8=0,0,'3-Dinâmica dos Implantes'!$D8)</f>
        <v>0</v>
      </c>
      <c r="H5" s="41" t="s">
        <v>194</v>
      </c>
      <c r="I5" s="84">
        <f>IF('3-Dinâmica dos Implantes'!D$9=0,0,'3-Dinâmica dos Implantes'!D$9)</f>
        <v>0</v>
      </c>
      <c r="K5" s="41" t="s">
        <v>201</v>
      </c>
      <c r="L5" s="84">
        <f>IF('3-Dinâmica dos Implantes'!D$10=0,0,'3-Dinâmica dos Implantes'!D$10)</f>
        <v>0</v>
      </c>
      <c r="N5" s="41" t="s">
        <v>204</v>
      </c>
      <c r="O5" s="84">
        <f>IF('3-Dinâmica dos Implantes'!D11=0,0,'3-Dinâmica dos Implantes'!D11)</f>
        <v>0</v>
      </c>
    </row>
    <row r="6" spans="2:15" ht="12.75">
      <c r="B6" s="41" t="s">
        <v>173</v>
      </c>
      <c r="C6" s="84">
        <f>IF('1-Critérios'!C8=Programação!A6,'3-Dinâmica dos Implantes'!C26,0)</f>
        <v>0</v>
      </c>
      <c r="E6" s="41" t="s">
        <v>184</v>
      </c>
      <c r="F6" s="84">
        <f>IF('1-Critérios'!$C$8=Programação!$A7,'3-Dinâmica dos Implantes'!$C$26,0)</f>
        <v>0</v>
      </c>
      <c r="H6" s="41" t="s">
        <v>195</v>
      </c>
      <c r="I6" s="84">
        <f>IF('1-Critérios'!$C$8=Programação!A8,'3-Dinâmica dos Implantes'!$C$26,0)</f>
        <v>0</v>
      </c>
      <c r="K6" s="41" t="s">
        <v>202</v>
      </c>
      <c r="L6" s="84">
        <f>IF('1-Critérios'!$C$8=Programação!A9,'3-Dinâmica dos Implantes'!$C$26,0)</f>
        <v>0</v>
      </c>
      <c r="N6" s="41" t="s">
        <v>205</v>
      </c>
      <c r="O6" s="84">
        <f>IF('1-Critérios'!$C$8=Programação!A10,'3-Dinâmica dos Implantes'!$C$26,0)</f>
        <v>0</v>
      </c>
    </row>
    <row r="7" spans="2:15" ht="12.75">
      <c r="B7" s="41" t="s">
        <v>174</v>
      </c>
      <c r="C7" s="84">
        <f>IF('4-Dinâmica da Doença'!K6=Programação!B19,0,C5*'4-Dinâmica da Doença'!E9)</f>
        <v>0</v>
      </c>
      <c r="E7" s="41" t="s">
        <v>174</v>
      </c>
      <c r="F7" s="84">
        <f>F5*'4-Dinâmica da Doença'!$E$9</f>
        <v>0</v>
      </c>
      <c r="H7" s="41" t="s">
        <v>174</v>
      </c>
      <c r="I7" s="84">
        <f>I5*'4-Dinâmica da Doença'!$E$9</f>
        <v>0</v>
      </c>
      <c r="K7" s="41" t="s">
        <v>174</v>
      </c>
      <c r="L7" s="84">
        <f>L5*'4-Dinâmica da Doença'!$E$9</f>
        <v>0</v>
      </c>
      <c r="N7" s="41" t="s">
        <v>174</v>
      </c>
      <c r="O7" s="84">
        <f>O5*'4-Dinâmica da Doença'!$E$9</f>
        <v>0</v>
      </c>
    </row>
    <row r="8" spans="2:15" ht="12.75">
      <c r="B8" s="41" t="s">
        <v>175</v>
      </c>
      <c r="C8" s="84">
        <f>IF('4-Dinâmica da Doença'!K6=Programação!B19,0,C5*'4-Dinâmica da Doença'!E22)</f>
        <v>0</v>
      </c>
      <c r="E8" s="41" t="s">
        <v>175</v>
      </c>
      <c r="F8" s="84">
        <f>F5*'4-Dinâmica da Doença'!$E$22</f>
        <v>0</v>
      </c>
      <c r="H8" s="41" t="s">
        <v>175</v>
      </c>
      <c r="I8" s="84">
        <f>I5*'4-Dinâmica da Doença'!$E$22</f>
        <v>0</v>
      </c>
      <c r="K8" s="41" t="s">
        <v>175</v>
      </c>
      <c r="L8" s="84">
        <f>L5*'4-Dinâmica da Doença'!$E$22</f>
        <v>0</v>
      </c>
      <c r="N8" s="41" t="s">
        <v>175</v>
      </c>
      <c r="O8" s="84">
        <f>O5*'4-Dinâmica da Doença'!$E$22</f>
        <v>0</v>
      </c>
    </row>
    <row r="9" spans="2:15" ht="12.75">
      <c r="B9" s="41" t="s">
        <v>176</v>
      </c>
      <c r="C9" s="84">
        <f>'2-Quantos dispositivos'!C11</f>
        <v>0</v>
      </c>
      <c r="E9" s="41" t="s">
        <v>176</v>
      </c>
      <c r="F9" s="84">
        <f>'2-Quantos dispositivos'!$C$11</f>
        <v>0</v>
      </c>
      <c r="H9" s="41" t="s">
        <v>176</v>
      </c>
      <c r="I9" s="84">
        <f>'2-Quantos dispositivos'!$C$11</f>
        <v>0</v>
      </c>
      <c r="K9" s="41" t="s">
        <v>176</v>
      </c>
      <c r="L9" s="84">
        <f>'2-Quantos dispositivos'!$C$11</f>
        <v>0</v>
      </c>
      <c r="N9" s="41" t="s">
        <v>176</v>
      </c>
      <c r="O9" s="84">
        <f>'2-Quantos dispositivos'!$C$11</f>
        <v>0</v>
      </c>
    </row>
    <row r="10" spans="2:15" ht="12.75">
      <c r="B10" s="41" t="s">
        <v>191</v>
      </c>
      <c r="C10" s="84">
        <f>C5+C6+C7-C8</f>
        <v>0</v>
      </c>
      <c r="E10" s="41" t="s">
        <v>191</v>
      </c>
      <c r="F10" s="84">
        <f>F5+F6+F7-F8</f>
        <v>0</v>
      </c>
      <c r="H10" s="41" t="s">
        <v>191</v>
      </c>
      <c r="I10" s="84">
        <f>I5+I6+I7-I8</f>
        <v>0</v>
      </c>
      <c r="K10" s="41" t="s">
        <v>191</v>
      </c>
      <c r="L10" s="84">
        <f>L5+L6+L7-L8</f>
        <v>0</v>
      </c>
      <c r="N10" s="41" t="s">
        <v>191</v>
      </c>
      <c r="O10" s="84">
        <f>O5+O6+O7-O8</f>
        <v>0</v>
      </c>
    </row>
    <row r="11" spans="2:15" ht="12.75">
      <c r="B11" s="41" t="s">
        <v>177</v>
      </c>
      <c r="C11" s="84">
        <f>C10*C9</f>
        <v>0</v>
      </c>
      <c r="E11" s="41" t="s">
        <v>189</v>
      </c>
      <c r="F11" s="84">
        <f>F10*F9</f>
        <v>0</v>
      </c>
      <c r="H11" s="41" t="s">
        <v>196</v>
      </c>
      <c r="I11" s="84">
        <f>I10*I9</f>
        <v>0</v>
      </c>
      <c r="K11" s="41" t="s">
        <v>203</v>
      </c>
      <c r="L11" s="84">
        <f>L10*L9</f>
        <v>0</v>
      </c>
      <c r="N11" s="41" t="s">
        <v>206</v>
      </c>
      <c r="O11" s="84">
        <f>O10*O9</f>
        <v>0</v>
      </c>
    </row>
    <row r="12" spans="2:15" ht="12.75">
      <c r="B12" s="41" t="s">
        <v>193</v>
      </c>
      <c r="C12" s="84">
        <f>C5</f>
        <v>0</v>
      </c>
      <c r="E12" s="41" t="s">
        <v>192</v>
      </c>
      <c r="F12" s="84">
        <f>IF('1-Critérios'!C8=Programação!A7,((C12+F10)-'10-Impacto Orçamentário Anual'!O6),(C12+F10))</f>
        <v>0</v>
      </c>
      <c r="H12" s="41" t="s">
        <v>197</v>
      </c>
      <c r="I12" s="84">
        <f>IF('1-Critérios'!C8=Programação!A8,((F12+I10)-'10-Impacto Orçamentário Anual'!O6),(F12+I10))</f>
        <v>0</v>
      </c>
      <c r="K12" s="41" t="s">
        <v>197</v>
      </c>
      <c r="L12" s="84">
        <f>IF('1-Critérios'!C8=Programação!A9,((I12+L10)-'10-Impacto Orçamentário Anual'!O6),(I12+L10))</f>
        <v>0</v>
      </c>
      <c r="N12" s="41" t="s">
        <v>197</v>
      </c>
      <c r="O12" s="84">
        <f>IF('1-Critérios'!C8=Programação!A10,((L12+O10)-'10-Impacto Orçamentário Anual'!O6),(L12+O10))</f>
        <v>0</v>
      </c>
    </row>
    <row r="13" spans="2:15" ht="12.75">
      <c r="B13" s="41"/>
      <c r="C13" s="84"/>
      <c r="E13" s="41"/>
      <c r="F13" s="84"/>
      <c r="H13" s="41" t="s">
        <v>198</v>
      </c>
      <c r="I13" s="84"/>
      <c r="K13" s="41" t="s">
        <v>199</v>
      </c>
      <c r="L13" s="84"/>
      <c r="N13" s="41" t="s">
        <v>207</v>
      </c>
      <c r="O13" s="84"/>
    </row>
    <row r="14" spans="2:15" ht="12.75">
      <c r="B14" s="41"/>
      <c r="C14" s="84"/>
      <c r="E14" s="41"/>
      <c r="F14" s="84"/>
      <c r="H14" s="41"/>
      <c r="I14" s="84"/>
      <c r="K14" s="41"/>
      <c r="L14" s="84"/>
      <c r="N14" s="41"/>
      <c r="O14" s="84"/>
    </row>
    <row r="15" spans="2:15" ht="12.75">
      <c r="B15" s="41" t="s">
        <v>226</v>
      </c>
      <c r="C15" s="84"/>
      <c r="E15" s="41" t="s">
        <v>227</v>
      </c>
      <c r="F15" s="84"/>
      <c r="G15" s="44"/>
      <c r="H15" s="41" t="s">
        <v>233</v>
      </c>
      <c r="I15" s="84"/>
      <c r="J15" s="44"/>
      <c r="K15" s="41" t="s">
        <v>228</v>
      </c>
      <c r="L15" s="84"/>
      <c r="M15" s="44"/>
      <c r="N15" s="41" t="s">
        <v>230</v>
      </c>
      <c r="O15" s="84"/>
    </row>
    <row r="16" spans="2:15" ht="12.75">
      <c r="B16" s="41"/>
      <c r="C16" s="84"/>
      <c r="E16" s="41"/>
      <c r="F16" s="87"/>
      <c r="G16" s="44"/>
      <c r="H16" s="41"/>
      <c r="I16" s="87"/>
      <c r="J16" s="44"/>
      <c r="K16" s="41"/>
      <c r="L16" s="87"/>
      <c r="M16" s="44"/>
      <c r="N16" s="41"/>
      <c r="O16" s="87"/>
    </row>
    <row r="17" spans="2:15" ht="12.75">
      <c r="B17" s="41" t="s">
        <v>222</v>
      </c>
      <c r="C17" s="85">
        <f>C11*'9-Evolução de Valores'!C11</f>
        <v>0</v>
      </c>
      <c r="E17" s="41" t="s">
        <v>222</v>
      </c>
      <c r="F17" s="85">
        <f>'9-Evolução de Valores'!C11*'10-Impacto Orçamentário Anual'!F11</f>
        <v>0</v>
      </c>
      <c r="G17" s="44"/>
      <c r="H17" s="41" t="s">
        <v>222</v>
      </c>
      <c r="I17" s="85">
        <f>'9-Evolução de Valores'!$C$11*'10-Impacto Orçamentário Anual'!I11</f>
        <v>0</v>
      </c>
      <c r="J17" s="44"/>
      <c r="K17" s="41" t="s">
        <v>222</v>
      </c>
      <c r="L17" s="85">
        <f>'9-Evolução de Valores'!$C$11*'10-Impacto Orçamentário Anual'!L11</f>
        <v>0</v>
      </c>
      <c r="M17" s="44"/>
      <c r="N17" s="41" t="s">
        <v>222</v>
      </c>
      <c r="O17" s="85">
        <f>'9-Evolução de Valores'!$C$11*'10-Impacto Orçamentário Anual'!O11</f>
        <v>0</v>
      </c>
    </row>
    <row r="18" spans="2:15" ht="12.75">
      <c r="B18" s="41" t="s">
        <v>223</v>
      </c>
      <c r="C18" s="85">
        <f>C12*'9-Evolução de Valores'!C12</f>
        <v>0</v>
      </c>
      <c r="E18" s="41" t="s">
        <v>223</v>
      </c>
      <c r="F18" s="85">
        <f>'9-Evolução de Valores'!C12*'10-Impacto Orçamentário Anual'!F12</f>
        <v>0</v>
      </c>
      <c r="G18" s="44"/>
      <c r="H18" s="41" t="s">
        <v>223</v>
      </c>
      <c r="I18" s="85">
        <f>'9-Evolução de Valores'!$C$12*'10-Impacto Orçamentário Anual'!I12</f>
        <v>0</v>
      </c>
      <c r="J18" s="44"/>
      <c r="K18" s="41" t="s">
        <v>223</v>
      </c>
      <c r="L18" s="85">
        <f>'9-Evolução de Valores'!$C$12*'10-Impacto Orçamentário Anual'!L12</f>
        <v>0</v>
      </c>
      <c r="M18" s="44"/>
      <c r="N18" s="41" t="s">
        <v>223</v>
      </c>
      <c r="O18" s="85">
        <f>'9-Evolução de Valores'!$C$12*'10-Impacto Orçamentário Anual'!O12</f>
        <v>0</v>
      </c>
    </row>
    <row r="19" spans="2:15" ht="12.75">
      <c r="B19" s="41" t="s">
        <v>224</v>
      </c>
      <c r="C19" s="85">
        <f>'9-Evolução de Valores'!$C$13*C11</f>
        <v>0</v>
      </c>
      <c r="E19" s="41" t="s">
        <v>225</v>
      </c>
      <c r="F19" s="85">
        <f>F17+F18</f>
        <v>0</v>
      </c>
      <c r="G19" s="44"/>
      <c r="H19" s="41" t="s">
        <v>232</v>
      </c>
      <c r="I19" s="85">
        <f>I17+I18</f>
        <v>0</v>
      </c>
      <c r="J19" s="44"/>
      <c r="K19" s="41" t="s">
        <v>229</v>
      </c>
      <c r="L19" s="85">
        <f>L17+L18</f>
        <v>0</v>
      </c>
      <c r="M19" s="44"/>
      <c r="N19" s="41" t="s">
        <v>231</v>
      </c>
      <c r="O19" s="85">
        <f>O17+O18</f>
        <v>0</v>
      </c>
    </row>
    <row r="20" spans="2:15" ht="12.75">
      <c r="B20" s="41" t="s">
        <v>182</v>
      </c>
      <c r="C20" s="85">
        <f>'9-Evolução de Valores'!$C$14*C10</f>
        <v>0</v>
      </c>
      <c r="E20" s="41" t="s">
        <v>182</v>
      </c>
      <c r="F20" s="85">
        <f>'9-Evolução de Valores'!C14*'10-Impacto Orçamentário Anual'!F12</f>
        <v>0</v>
      </c>
      <c r="G20" s="44"/>
      <c r="H20" s="41" t="s">
        <v>182</v>
      </c>
      <c r="I20" s="85">
        <f>'9-Evolução de Valores'!$C$14*'10-Impacto Orçamentário Anual'!I12</f>
        <v>0</v>
      </c>
      <c r="J20" s="44"/>
      <c r="K20" s="41" t="s">
        <v>182</v>
      </c>
      <c r="L20" s="85">
        <f>'9-Evolução de Valores'!$C$14*'10-Impacto Orçamentário Anual'!L12</f>
        <v>0</v>
      </c>
      <c r="M20" s="44"/>
      <c r="N20" s="41" t="s">
        <v>182</v>
      </c>
      <c r="O20" s="85">
        <f>'9-Evolução de Valores'!$C$14*'10-Impacto Orçamentário Anual'!O12</f>
        <v>0</v>
      </c>
    </row>
    <row r="21" spans="2:15" ht="12.75">
      <c r="B21" s="41" t="s">
        <v>209</v>
      </c>
      <c r="C21" s="85">
        <f>C19-C20</f>
        <v>0</v>
      </c>
      <c r="E21" s="41" t="s">
        <v>209</v>
      </c>
      <c r="F21" s="85">
        <f>F19-F20</f>
        <v>0</v>
      </c>
      <c r="H21" s="41" t="s">
        <v>209</v>
      </c>
      <c r="I21" s="85">
        <f>I19-I20</f>
        <v>0</v>
      </c>
      <c r="K21" s="41" t="s">
        <v>209</v>
      </c>
      <c r="L21" s="85">
        <f>L19-L20</f>
        <v>0</v>
      </c>
      <c r="N21" s="41" t="s">
        <v>209</v>
      </c>
      <c r="O21" s="85">
        <f>O19-O20</f>
        <v>0</v>
      </c>
    </row>
    <row r="22" spans="2:15" ht="12.75">
      <c r="B22" s="41"/>
      <c r="C22" s="85"/>
      <c r="E22" s="41"/>
      <c r="F22" s="85"/>
      <c r="H22" s="41"/>
      <c r="I22" s="85"/>
      <c r="K22" s="41"/>
      <c r="L22" s="85"/>
      <c r="N22" s="41"/>
      <c r="O22" s="85"/>
    </row>
    <row r="23" spans="2:15" ht="12.75">
      <c r="B23" s="41"/>
      <c r="C23" s="85"/>
      <c r="E23" s="41"/>
      <c r="F23" s="85"/>
      <c r="H23" s="41"/>
      <c r="I23" s="85"/>
      <c r="K23" s="41"/>
      <c r="L23" s="85"/>
      <c r="N23" s="41"/>
      <c r="O23" s="85"/>
    </row>
    <row r="24" spans="2:15" ht="12.75">
      <c r="B24" s="41" t="s">
        <v>210</v>
      </c>
      <c r="C24" s="85"/>
      <c r="E24" s="41" t="s">
        <v>210</v>
      </c>
      <c r="F24" s="85"/>
      <c r="H24" s="41" t="s">
        <v>210</v>
      </c>
      <c r="I24" s="85"/>
      <c r="K24" s="41" t="s">
        <v>210</v>
      </c>
      <c r="L24" s="85"/>
      <c r="N24" s="41" t="s">
        <v>210</v>
      </c>
      <c r="O24" s="85"/>
    </row>
    <row r="25" spans="2:15" ht="12.75">
      <c r="B25" s="41"/>
      <c r="C25" s="85"/>
      <c r="E25" s="41"/>
      <c r="F25" s="85"/>
      <c r="H25" s="41"/>
      <c r="I25" s="85"/>
      <c r="K25" s="41"/>
      <c r="L25" s="85"/>
      <c r="N25" s="41"/>
      <c r="O25" s="85"/>
    </row>
    <row r="26" spans="2:15" ht="12.75">
      <c r="B26" s="41" t="s">
        <v>222</v>
      </c>
      <c r="C26" s="85">
        <f>(IF('9-Evolução de Valores'!D11=Programação!$D$18,'9-Evolução de Valores'!$C$11,'9-Evolução de Valores'!D11))*C11</f>
        <v>0</v>
      </c>
      <c r="E26" s="41" t="s">
        <v>222</v>
      </c>
      <c r="F26" s="85">
        <f>'9-Evolução de Valores'!D18*'10-Impacto Orçamentário Anual'!F11</f>
        <v>0</v>
      </c>
      <c r="H26" s="41" t="s">
        <v>222</v>
      </c>
      <c r="I26" s="85">
        <f>'9-Evolução de Valores'!D25*'10-Impacto Orçamentário Anual'!I11</f>
        <v>0</v>
      </c>
      <c r="K26" s="41" t="s">
        <v>222</v>
      </c>
      <c r="L26" s="85">
        <f>'9-Evolução de Valores'!D32*'10-Impacto Orçamentário Anual'!L11</f>
        <v>0</v>
      </c>
      <c r="N26" s="41" t="s">
        <v>222</v>
      </c>
      <c r="O26" s="85">
        <f>'9-Evolução de Valores'!D39*'10-Impacto Orçamentário Anual'!O11</f>
        <v>0</v>
      </c>
    </row>
    <row r="27" spans="2:15" ht="12.75">
      <c r="B27" s="41" t="s">
        <v>223</v>
      </c>
      <c r="C27" s="85">
        <f>(IF('9-Evolução de Valores'!D12=Programação!$D$18,'9-Evolução de Valores'!$C$12,'9-Evolução de Valores'!D12))*C12</f>
        <v>0</v>
      </c>
      <c r="E27" s="41" t="s">
        <v>223</v>
      </c>
      <c r="F27" s="85">
        <f>'9-Evolução de Valores'!D19*'10-Impacto Orçamentário Anual'!F12</f>
        <v>0</v>
      </c>
      <c r="H27" s="41" t="s">
        <v>223</v>
      </c>
      <c r="I27" s="85">
        <f>'9-Evolução de Valores'!D26*'10-Impacto Orçamentário Anual'!I12</f>
        <v>0</v>
      </c>
      <c r="K27" s="41" t="s">
        <v>223</v>
      </c>
      <c r="L27" s="85">
        <f>'9-Evolução de Valores'!D33*'10-Impacto Orçamentário Anual'!L12</f>
        <v>0</v>
      </c>
      <c r="N27" s="41" t="s">
        <v>223</v>
      </c>
      <c r="O27" s="85">
        <f>'9-Evolução de Valores'!D40*'10-Impacto Orçamentário Anual'!O12</f>
        <v>0</v>
      </c>
    </row>
    <row r="28" spans="2:15" ht="12.75">
      <c r="B28" s="41" t="s">
        <v>224</v>
      </c>
      <c r="C28" s="85">
        <f>C26+C27</f>
        <v>0</v>
      </c>
      <c r="E28" s="41" t="s">
        <v>225</v>
      </c>
      <c r="F28" s="85">
        <f>F26+F27</f>
        <v>0</v>
      </c>
      <c r="H28" s="41" t="s">
        <v>232</v>
      </c>
      <c r="I28" s="85">
        <f>I26+I27</f>
        <v>0</v>
      </c>
      <c r="K28" s="41" t="s">
        <v>229</v>
      </c>
      <c r="L28" s="85">
        <f>L26+L27</f>
        <v>0</v>
      </c>
      <c r="N28" s="41" t="s">
        <v>231</v>
      </c>
      <c r="O28" s="85">
        <f>O26+O27</f>
        <v>0</v>
      </c>
    </row>
    <row r="29" spans="2:15" ht="12.75">
      <c r="B29" s="41" t="s">
        <v>182</v>
      </c>
      <c r="C29" s="85">
        <f>(IF('9-Evolução de Valores'!D14=Programação!$D$18,'9-Evolução de Valores'!$C$14,'9-Evolução de Valores'!D14))*C10</f>
        <v>0</v>
      </c>
      <c r="E29" s="41" t="s">
        <v>182</v>
      </c>
      <c r="F29" s="85">
        <f>'9-Evolução de Valores'!D21*'10-Impacto Orçamentário Anual'!F12</f>
        <v>0</v>
      </c>
      <c r="H29" s="41" t="s">
        <v>182</v>
      </c>
      <c r="I29" s="85">
        <f>'9-Evolução de Valores'!D28*'10-Impacto Orçamentário Anual'!I12</f>
        <v>0</v>
      </c>
      <c r="K29" s="41" t="s">
        <v>182</v>
      </c>
      <c r="L29" s="85">
        <f>'9-Evolução de Valores'!D35*'10-Impacto Orçamentário Anual'!L12</f>
        <v>0</v>
      </c>
      <c r="N29" s="41" t="s">
        <v>182</v>
      </c>
      <c r="O29" s="85">
        <f>'9-Evolução de Valores'!D42*'10-Impacto Orçamentário Anual'!O12</f>
        <v>0</v>
      </c>
    </row>
    <row r="30" spans="2:15" ht="12.75">
      <c r="B30" s="41" t="s">
        <v>209</v>
      </c>
      <c r="C30" s="85"/>
      <c r="E30" s="41" t="s">
        <v>209</v>
      </c>
      <c r="F30" s="85">
        <f>F28-F29</f>
        <v>0</v>
      </c>
      <c r="H30" s="41" t="s">
        <v>209</v>
      </c>
      <c r="I30" s="85">
        <f>I28-I29</f>
        <v>0</v>
      </c>
      <c r="K30" s="41" t="s">
        <v>209</v>
      </c>
      <c r="L30" s="85">
        <f>L28-L29</f>
        <v>0</v>
      </c>
      <c r="N30" s="41" t="s">
        <v>209</v>
      </c>
      <c r="O30" s="85">
        <f>O28-O29</f>
        <v>0</v>
      </c>
    </row>
    <row r="31" spans="2:15" ht="12.75">
      <c r="B31" s="41"/>
      <c r="C31" s="85"/>
      <c r="E31" s="41"/>
      <c r="F31" s="85"/>
      <c r="H31" s="41"/>
      <c r="I31" s="85"/>
      <c r="K31" s="41"/>
      <c r="L31" s="85"/>
      <c r="N31" s="41"/>
      <c r="O31" s="85"/>
    </row>
    <row r="32" spans="2:15" ht="12.75">
      <c r="B32" s="41" t="s">
        <v>211</v>
      </c>
      <c r="C32" s="85"/>
      <c r="E32" s="41" t="s">
        <v>211</v>
      </c>
      <c r="F32" s="85"/>
      <c r="H32" s="41" t="s">
        <v>211</v>
      </c>
      <c r="I32" s="85"/>
      <c r="K32" s="41" t="s">
        <v>211</v>
      </c>
      <c r="L32" s="85"/>
      <c r="N32" s="41" t="s">
        <v>211</v>
      </c>
      <c r="O32" s="85"/>
    </row>
    <row r="33" spans="2:15" ht="12.75">
      <c r="B33" s="41"/>
      <c r="C33" s="85"/>
      <c r="E33" s="41"/>
      <c r="F33" s="85"/>
      <c r="H33" s="41"/>
      <c r="I33" s="85"/>
      <c r="K33" s="41"/>
      <c r="L33" s="85"/>
      <c r="N33" s="41"/>
      <c r="O33" s="85"/>
    </row>
    <row r="34" spans="2:15" ht="12.75">
      <c r="B34" s="41" t="s">
        <v>222</v>
      </c>
      <c r="C34" s="85">
        <f>(IF('9-Evolução de Valores'!F11=Programação!$D$18,'9-Evolução de Valores'!$C$11,'9-Evolução de Valores'!F11))*C11</f>
        <v>0</v>
      </c>
      <c r="E34" s="41" t="s">
        <v>222</v>
      </c>
      <c r="F34" s="85">
        <f>'9-Evolução de Valores'!F18*'10-Impacto Orçamentário Anual'!F11</f>
        <v>0</v>
      </c>
      <c r="H34" s="41" t="s">
        <v>222</v>
      </c>
      <c r="I34" s="85">
        <f>'9-Evolução de Valores'!F25*'10-Impacto Orçamentário Anual'!I11</f>
        <v>0</v>
      </c>
      <c r="K34" s="41" t="s">
        <v>222</v>
      </c>
      <c r="L34" s="85">
        <f>'9-Evolução de Valores'!F32*'10-Impacto Orçamentário Anual'!L11</f>
        <v>0</v>
      </c>
      <c r="N34" s="41" t="s">
        <v>222</v>
      </c>
      <c r="O34" s="85">
        <f>'9-Evolução de Valores'!F39*'10-Impacto Orçamentário Anual'!O11</f>
        <v>0</v>
      </c>
    </row>
    <row r="35" spans="2:15" ht="12.75">
      <c r="B35" s="41" t="s">
        <v>223</v>
      </c>
      <c r="C35" s="85">
        <f>(IF('9-Evolução de Valores'!F12=Programação!$D$18,'9-Evolução de Valores'!$C$12,'9-Evolução de Valores'!F12))*C12</f>
        <v>0</v>
      </c>
      <c r="E35" s="41" t="s">
        <v>223</v>
      </c>
      <c r="F35" s="85">
        <f>'9-Evolução de Valores'!F19*'10-Impacto Orçamentário Anual'!F12</f>
        <v>0</v>
      </c>
      <c r="H35" s="41" t="s">
        <v>223</v>
      </c>
      <c r="I35" s="85">
        <f>'9-Evolução de Valores'!F26*'10-Impacto Orçamentário Anual'!I12</f>
        <v>0</v>
      </c>
      <c r="K35" s="41" t="s">
        <v>223</v>
      </c>
      <c r="L35" s="85">
        <f>'9-Evolução de Valores'!F33*'10-Impacto Orçamentário Anual'!L12</f>
        <v>0</v>
      </c>
      <c r="N35" s="41" t="s">
        <v>223</v>
      </c>
      <c r="O35" s="85">
        <f>'9-Evolução de Valores'!F40*'10-Impacto Orçamentário Anual'!O12</f>
        <v>0</v>
      </c>
    </row>
    <row r="36" spans="2:15" ht="12.75">
      <c r="B36" s="41" t="s">
        <v>224</v>
      </c>
      <c r="C36" s="85">
        <f>C34+C35</f>
        <v>0</v>
      </c>
      <c r="E36" s="41" t="s">
        <v>225</v>
      </c>
      <c r="F36" s="85">
        <f>F34+F35</f>
        <v>0</v>
      </c>
      <c r="H36" s="41" t="s">
        <v>232</v>
      </c>
      <c r="I36" s="85">
        <f>I34+I35</f>
        <v>0</v>
      </c>
      <c r="K36" s="41" t="s">
        <v>229</v>
      </c>
      <c r="L36" s="85">
        <f>L34+L35</f>
        <v>0</v>
      </c>
      <c r="N36" s="41" t="s">
        <v>231</v>
      </c>
      <c r="O36" s="85">
        <f>O34+O35</f>
        <v>0</v>
      </c>
    </row>
    <row r="37" spans="2:15" ht="12.75">
      <c r="B37" s="41" t="s">
        <v>182</v>
      </c>
      <c r="C37" s="85">
        <f>(IF('9-Evolução de Valores'!F14=Programação!$D$18,'9-Evolução de Valores'!$C$14,'9-Evolução de Valores'!F14))*C10</f>
        <v>0</v>
      </c>
      <c r="E37" s="41" t="s">
        <v>182</v>
      </c>
      <c r="F37" s="85">
        <f>'9-Evolução de Valores'!F21*'10-Impacto Orçamentário Anual'!F12</f>
        <v>0</v>
      </c>
      <c r="H37" s="41" t="s">
        <v>182</v>
      </c>
      <c r="I37" s="85">
        <f>'9-Evolução de Valores'!F28*'10-Impacto Orçamentário Anual'!I12</f>
        <v>0</v>
      </c>
      <c r="K37" s="41" t="s">
        <v>182</v>
      </c>
      <c r="L37" s="85">
        <f>'9-Evolução de Valores'!F35*'10-Impacto Orçamentário Anual'!L12</f>
        <v>0</v>
      </c>
      <c r="N37" s="41" t="s">
        <v>182</v>
      </c>
      <c r="O37" s="85">
        <f>'9-Evolução de Valores'!F42*'10-Impacto Orçamentário Anual'!O12</f>
        <v>0</v>
      </c>
    </row>
    <row r="38" spans="2:15" ht="12.75">
      <c r="B38" s="42" t="s">
        <v>209</v>
      </c>
      <c r="C38" s="86">
        <f>C36-C37</f>
        <v>0</v>
      </c>
      <c r="E38" s="42" t="s">
        <v>209</v>
      </c>
      <c r="F38" s="86">
        <f>F36-F37</f>
        <v>0</v>
      </c>
      <c r="H38" s="42" t="s">
        <v>209</v>
      </c>
      <c r="I38" s="86">
        <f>I36-I37</f>
        <v>0</v>
      </c>
      <c r="K38" s="42" t="s">
        <v>209</v>
      </c>
      <c r="L38" s="86">
        <f>L36-L37</f>
        <v>0</v>
      </c>
      <c r="N38" s="42" t="s">
        <v>209</v>
      </c>
      <c r="O38" s="86">
        <f>O36-O37</f>
        <v>0</v>
      </c>
    </row>
    <row r="43" ht="12.75">
      <c r="C43" s="74"/>
    </row>
    <row r="44" ht="12.75">
      <c r="C44" s="74"/>
    </row>
    <row r="46" ht="9.75" customHeight="1"/>
    <row r="47" ht="12.75">
      <c r="C47" s="74"/>
    </row>
    <row r="48" ht="12.75">
      <c r="C48" s="74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55">
      <selection activeCell="A21" sqref="A21"/>
    </sheetView>
  </sheetViews>
  <sheetFormatPr defaultColWidth="8.8515625" defaultRowHeight="12.75"/>
  <cols>
    <col min="1" max="1" width="44.00390625" style="0" customWidth="1"/>
    <col min="2" max="2" width="32.421875" style="0" customWidth="1"/>
    <col min="3" max="3" width="8.8515625" style="0" customWidth="1"/>
    <col min="4" max="4" width="45.421875" style="0" customWidth="1"/>
    <col min="5" max="5" width="23.421875" style="0" customWidth="1"/>
  </cols>
  <sheetData>
    <row r="1" spans="1:10" ht="20.25">
      <c r="A1" s="91" t="s">
        <v>253</v>
      </c>
      <c r="B1" s="92"/>
      <c r="C1" s="93"/>
      <c r="D1" s="91"/>
      <c r="E1" s="92"/>
      <c r="F1" s="91"/>
      <c r="G1" s="91"/>
      <c r="H1" s="94"/>
      <c r="I1" s="94"/>
      <c r="J1" s="95"/>
    </row>
    <row r="2" spans="1:10" ht="12.75">
      <c r="A2" s="95"/>
      <c r="B2" s="95"/>
      <c r="C2" s="95"/>
      <c r="D2" s="95"/>
      <c r="E2" s="95"/>
      <c r="F2" s="95"/>
      <c r="G2" s="95"/>
      <c r="H2" s="95"/>
      <c r="I2" s="95"/>
      <c r="J2" s="95"/>
    </row>
    <row r="3" spans="1:10" ht="12.75">
      <c r="A3" s="96" t="s">
        <v>251</v>
      </c>
      <c r="B3" s="97" t="str">
        <f>'1-Critérios'!C6</f>
        <v>Ministério da Saúde</v>
      </c>
      <c r="C3" s="98"/>
      <c r="D3" s="98"/>
      <c r="E3" s="129"/>
      <c r="F3" s="99"/>
      <c r="G3" s="100"/>
      <c r="H3" s="95"/>
      <c r="I3" s="95"/>
      <c r="J3" s="95"/>
    </row>
    <row r="4" spans="1:10" ht="12.75">
      <c r="A4" s="101"/>
      <c r="B4" s="102"/>
      <c r="C4" s="100"/>
      <c r="D4" s="100"/>
      <c r="E4" s="99"/>
      <c r="F4" s="154"/>
      <c r="G4" s="154"/>
      <c r="H4" s="95"/>
      <c r="I4" s="95"/>
      <c r="J4" s="95"/>
    </row>
    <row r="5" spans="1:10" ht="12.75">
      <c r="A5" s="103" t="s">
        <v>259</v>
      </c>
      <c r="B5" s="102">
        <f>'1-Critérios'!C8</f>
        <v>5</v>
      </c>
      <c r="C5" s="100"/>
      <c r="D5" s="100"/>
      <c r="E5" s="99"/>
      <c r="F5" s="154"/>
      <c r="G5" s="154"/>
      <c r="H5" s="95"/>
      <c r="I5" s="95"/>
      <c r="J5" s="95"/>
    </row>
    <row r="6" spans="1:10" ht="12.75">
      <c r="A6" s="103"/>
      <c r="B6" s="102"/>
      <c r="C6" s="100"/>
      <c r="D6" s="100"/>
      <c r="E6" s="100"/>
      <c r="F6" s="100"/>
      <c r="G6" s="100"/>
      <c r="H6" s="95"/>
      <c r="I6" s="95"/>
      <c r="J6" s="95"/>
    </row>
    <row r="7" spans="1:10" ht="12.75">
      <c r="A7" s="103" t="s">
        <v>246</v>
      </c>
      <c r="B7" s="104" t="str">
        <f>'1-Critérios'!C14</f>
        <v>Nome do dispositivo</v>
      </c>
      <c r="C7" s="100"/>
      <c r="D7" s="100"/>
      <c r="E7" s="100"/>
      <c r="F7" s="100"/>
      <c r="G7" s="100"/>
      <c r="H7" s="95"/>
      <c r="I7" s="95"/>
      <c r="J7" s="95"/>
    </row>
    <row r="8" spans="1:10" ht="12.75">
      <c r="A8" s="103"/>
      <c r="B8" s="102"/>
      <c r="C8" s="100"/>
      <c r="D8" s="100"/>
      <c r="E8" s="100"/>
      <c r="F8" s="100"/>
      <c r="G8" s="100"/>
      <c r="H8" s="95"/>
      <c r="I8" s="95"/>
      <c r="J8" s="95"/>
    </row>
    <row r="9" spans="1:10" ht="12.75">
      <c r="A9" s="103" t="s">
        <v>247</v>
      </c>
      <c r="B9" s="104" t="str">
        <f>'1-Critérios'!C10</f>
        <v>Nome da condição clínica</v>
      </c>
      <c r="C9" s="100"/>
      <c r="D9" s="100"/>
      <c r="E9" s="100"/>
      <c r="F9" s="100"/>
      <c r="G9" s="100"/>
      <c r="H9" s="95"/>
      <c r="I9" s="95"/>
      <c r="J9" s="95"/>
    </row>
    <row r="10" spans="1:10" ht="12.75">
      <c r="A10" s="103"/>
      <c r="B10" s="102"/>
      <c r="C10" s="100"/>
      <c r="D10" s="100"/>
      <c r="E10" s="100"/>
      <c r="F10" s="100"/>
      <c r="G10" s="100"/>
      <c r="H10" s="95"/>
      <c r="I10" s="95"/>
      <c r="J10" s="95"/>
    </row>
    <row r="11" spans="1:10" ht="12.75">
      <c r="A11" s="103" t="s">
        <v>242</v>
      </c>
      <c r="B11" s="105">
        <f>'2-Quantos dispositivos'!C26</f>
        <v>0</v>
      </c>
      <c r="C11" s="106"/>
      <c r="D11" s="100"/>
      <c r="E11" s="99"/>
      <c r="F11" s="107"/>
      <c r="G11" s="107"/>
      <c r="H11" s="95"/>
      <c r="I11" s="95"/>
      <c r="J11" s="95"/>
    </row>
    <row r="12" spans="1:10" ht="12.75">
      <c r="A12" s="103"/>
      <c r="B12" s="102"/>
      <c r="C12" s="100"/>
      <c r="D12" s="100"/>
      <c r="E12" s="100"/>
      <c r="F12" s="100"/>
      <c r="G12" s="100"/>
      <c r="H12" s="95"/>
      <c r="I12" s="95"/>
      <c r="J12" s="95"/>
    </row>
    <row r="13" spans="1:10" ht="12.75">
      <c r="A13" s="103" t="s">
        <v>243</v>
      </c>
      <c r="B13" s="104" t="str">
        <f>'2-Quantos dispositivos'!B25</f>
        <v>Epidemiológico</v>
      </c>
      <c r="C13" s="100"/>
      <c r="D13" s="100"/>
      <c r="E13" s="100"/>
      <c r="F13" s="100"/>
      <c r="G13" s="100"/>
      <c r="H13" s="95"/>
      <c r="I13" s="95"/>
      <c r="J13" s="95"/>
    </row>
    <row r="14" spans="1:10" ht="12.75">
      <c r="A14" s="103"/>
      <c r="B14" s="104"/>
      <c r="C14" s="100"/>
      <c r="D14" s="100"/>
      <c r="E14" s="99"/>
      <c r="F14" s="154"/>
      <c r="G14" s="154"/>
      <c r="H14" s="95"/>
      <c r="I14" s="95"/>
      <c r="J14" s="95"/>
    </row>
    <row r="15" spans="1:10" ht="12.75">
      <c r="A15" s="103" t="s">
        <v>244</v>
      </c>
      <c r="B15" s="102">
        <f>'2-Quantos dispositivos'!C11</f>
        <v>0</v>
      </c>
      <c r="C15" s="100"/>
      <c r="D15" s="100"/>
      <c r="E15" s="99"/>
      <c r="F15" s="154"/>
      <c r="G15" s="154"/>
      <c r="H15" s="95"/>
      <c r="I15" s="95"/>
      <c r="J15" s="95"/>
    </row>
    <row r="16" spans="1:10" ht="12.75">
      <c r="A16" s="103"/>
      <c r="B16" s="102"/>
      <c r="C16" s="100"/>
      <c r="D16" s="100"/>
      <c r="E16" s="100"/>
      <c r="F16" s="100"/>
      <c r="G16" s="100"/>
      <c r="H16" s="95"/>
      <c r="I16" s="95"/>
      <c r="J16" s="95"/>
    </row>
    <row r="17" spans="1:10" ht="12.75">
      <c r="A17" s="103" t="s">
        <v>245</v>
      </c>
      <c r="B17" s="120">
        <f>B15*B11</f>
        <v>0</v>
      </c>
      <c r="C17" s="100"/>
      <c r="D17" s="100"/>
      <c r="E17" s="99"/>
      <c r="F17" s="153"/>
      <c r="G17" s="153"/>
      <c r="H17" s="95"/>
      <c r="I17" s="95"/>
      <c r="J17" s="95"/>
    </row>
    <row r="18" spans="1:10" ht="12.75">
      <c r="A18" s="103"/>
      <c r="B18" s="102"/>
      <c r="C18" s="100"/>
      <c r="D18" s="100"/>
      <c r="E18" s="99"/>
      <c r="F18" s="153"/>
      <c r="G18" s="153"/>
      <c r="H18" s="95"/>
      <c r="I18" s="95"/>
      <c r="J18" s="95"/>
    </row>
    <row r="19" spans="1:10" ht="12.75">
      <c r="A19" s="103" t="s">
        <v>248</v>
      </c>
      <c r="B19" s="108">
        <f>('8-Ajustes econômicos'!C7+'8-Ajustes econômicos'!C8+'8-Ajustes econômicos'!C9+'8-Ajustes econômicos'!C10+'8-Ajustes econômicos'!C11)/5</f>
        <v>0</v>
      </c>
      <c r="C19" s="109"/>
      <c r="D19" s="100"/>
      <c r="E19" s="100"/>
      <c r="F19" s="110"/>
      <c r="G19" s="111"/>
      <c r="H19" s="95"/>
      <c r="I19" s="95"/>
      <c r="J19" s="95"/>
    </row>
    <row r="20" spans="1:10" ht="12.75">
      <c r="A20" s="103"/>
      <c r="B20" s="112"/>
      <c r="C20" s="109"/>
      <c r="D20" s="100"/>
      <c r="E20" s="99"/>
      <c r="F20" s="110"/>
      <c r="G20" s="111"/>
      <c r="H20" s="95"/>
      <c r="I20" s="95"/>
      <c r="J20" s="95"/>
    </row>
    <row r="21" spans="1:10" ht="12.75">
      <c r="A21" s="103" t="s">
        <v>249</v>
      </c>
      <c r="B21" s="108">
        <f>'8-Ajustes econômicos'!C13</f>
        <v>0</v>
      </c>
      <c r="C21" s="113"/>
      <c r="D21" s="100"/>
      <c r="E21" s="99"/>
      <c r="F21" s="114"/>
      <c r="G21" s="115"/>
      <c r="H21" s="95"/>
      <c r="I21" s="95"/>
      <c r="J21" s="95"/>
    </row>
    <row r="22" spans="1:10" ht="12.75">
      <c r="A22" s="116"/>
      <c r="B22" s="102"/>
      <c r="C22" s="100"/>
      <c r="D22" s="100"/>
      <c r="E22" s="100"/>
      <c r="F22" s="95"/>
      <c r="G22" s="95"/>
      <c r="H22" s="95"/>
      <c r="I22" s="95"/>
      <c r="J22" s="95"/>
    </row>
    <row r="23" spans="1:10" ht="12.75">
      <c r="A23" s="117" t="s">
        <v>250</v>
      </c>
      <c r="B23" s="118" t="str">
        <f>'8-Ajustes econômicos'!H7</f>
        <v>Não</v>
      </c>
      <c r="C23" s="119"/>
      <c r="D23" s="119"/>
      <c r="E23" s="119"/>
      <c r="F23" s="95"/>
      <c r="G23" s="95"/>
      <c r="H23" s="95"/>
      <c r="I23" s="95"/>
      <c r="J23" s="95"/>
    </row>
    <row r="26" spans="1:5" ht="13.5" thickBot="1">
      <c r="A26" s="128" t="s">
        <v>252</v>
      </c>
      <c r="B26" s="73"/>
      <c r="D26" s="128" t="s">
        <v>255</v>
      </c>
      <c r="E26" s="73"/>
    </row>
    <row r="27" spans="1:5" ht="13.5" thickTop="1">
      <c r="A27" s="89"/>
      <c r="B27" s="89"/>
      <c r="D27" s="89"/>
      <c r="E27" s="89"/>
    </row>
    <row r="28" spans="1:5" ht="12.75">
      <c r="A28" s="125" t="s">
        <v>254</v>
      </c>
      <c r="B28" s="125"/>
      <c r="D28" s="125" t="s">
        <v>254</v>
      </c>
      <c r="E28" s="125"/>
    </row>
    <row r="29" spans="1:5" ht="12.75">
      <c r="A29" s="121"/>
      <c r="B29" s="121"/>
      <c r="D29" s="121"/>
      <c r="E29" s="121"/>
    </row>
    <row r="30" spans="1:5" ht="12.75">
      <c r="A30" s="122" t="s">
        <v>222</v>
      </c>
      <c r="B30" s="123">
        <f>'10-Impacto Orçamentário Anual'!C17</f>
        <v>0</v>
      </c>
      <c r="D30" s="90" t="s">
        <v>222</v>
      </c>
      <c r="E30" s="123">
        <f>'10-Impacto Orçamentário Anual'!C17+'10-Impacto Orçamentário Anual'!F17</f>
        <v>0</v>
      </c>
    </row>
    <row r="31" spans="1:5" ht="12.75">
      <c r="A31" s="122" t="s">
        <v>223</v>
      </c>
      <c r="B31" s="123">
        <f>'10-Impacto Orçamentário Anual'!C18</f>
        <v>0</v>
      </c>
      <c r="D31" s="90" t="s">
        <v>223</v>
      </c>
      <c r="E31" s="123">
        <f>'10-Impacto Orçamentário Anual'!F18</f>
        <v>0</v>
      </c>
    </row>
    <row r="32" spans="1:5" ht="12.75">
      <c r="A32" s="122" t="s">
        <v>224</v>
      </c>
      <c r="B32" s="123">
        <f>'10-Impacto Orçamentário Anual'!C19</f>
        <v>0</v>
      </c>
      <c r="D32" s="90" t="s">
        <v>224</v>
      </c>
      <c r="E32" s="123">
        <f>E30+E31</f>
        <v>0</v>
      </c>
    </row>
    <row r="33" spans="1:5" ht="12.75">
      <c r="A33" s="122" t="s">
        <v>182</v>
      </c>
      <c r="B33" s="123">
        <f>'10-Impacto Orçamentário Anual'!C20</f>
        <v>0</v>
      </c>
      <c r="D33" s="90" t="s">
        <v>182</v>
      </c>
      <c r="E33" s="123">
        <f>'10-Impacto Orçamentário Anual'!F20</f>
        <v>0</v>
      </c>
    </row>
    <row r="34" spans="1:5" ht="12.75">
      <c r="A34" s="122" t="s">
        <v>209</v>
      </c>
      <c r="B34" s="123">
        <f>'10-Impacto Orçamentário Anual'!C21</f>
        <v>0</v>
      </c>
      <c r="D34" s="90" t="s">
        <v>209</v>
      </c>
      <c r="E34" s="123">
        <f>E32-E33</f>
        <v>0</v>
      </c>
    </row>
    <row r="35" spans="1:5" ht="12.75">
      <c r="A35" s="122"/>
      <c r="B35" s="121"/>
      <c r="D35" s="90"/>
      <c r="E35" s="121"/>
    </row>
    <row r="36" spans="1:5" ht="12.75">
      <c r="A36" s="126" t="s">
        <v>210</v>
      </c>
      <c r="B36" s="125"/>
      <c r="D36" s="125" t="s">
        <v>210</v>
      </c>
      <c r="E36" s="125"/>
    </row>
    <row r="37" spans="1:5" ht="12.75">
      <c r="A37" s="122"/>
      <c r="B37" s="121"/>
      <c r="D37" s="90"/>
      <c r="E37" s="121"/>
    </row>
    <row r="38" spans="1:5" ht="12.75">
      <c r="A38" s="122" t="s">
        <v>222</v>
      </c>
      <c r="B38" s="123">
        <f>'10-Impacto Orçamentário Anual'!C26</f>
        <v>0</v>
      </c>
      <c r="D38" s="90" t="s">
        <v>222</v>
      </c>
      <c r="E38" s="123">
        <f>'10-Impacto Orçamentário Anual'!F26+'10-Impacto Orçamentário Anual'!C26</f>
        <v>0</v>
      </c>
    </row>
    <row r="39" spans="1:5" ht="12.75">
      <c r="A39" s="122" t="s">
        <v>223</v>
      </c>
      <c r="B39" s="123">
        <f>'10-Impacto Orçamentário Anual'!C27</f>
        <v>0</v>
      </c>
      <c r="D39" s="90" t="s">
        <v>223</v>
      </c>
      <c r="E39" s="123">
        <f>'10-Impacto Orçamentário Anual'!F27</f>
        <v>0</v>
      </c>
    </row>
    <row r="40" spans="1:5" ht="12.75">
      <c r="A40" s="122" t="s">
        <v>224</v>
      </c>
      <c r="B40" s="123">
        <f>'10-Impacto Orçamentário Anual'!C28</f>
        <v>0</v>
      </c>
      <c r="D40" s="90" t="s">
        <v>224</v>
      </c>
      <c r="E40" s="123">
        <f>E38+E39</f>
        <v>0</v>
      </c>
    </row>
    <row r="41" spans="1:5" ht="12.75">
      <c r="A41" s="122" t="s">
        <v>182</v>
      </c>
      <c r="B41" s="123">
        <f>'10-Impacto Orçamentário Anual'!C20</f>
        <v>0</v>
      </c>
      <c r="D41" s="90" t="s">
        <v>182</v>
      </c>
      <c r="E41" s="123">
        <f>'10-Impacto Orçamentário Anual'!F29</f>
        <v>0</v>
      </c>
    </row>
    <row r="42" spans="1:5" ht="12.75">
      <c r="A42" s="122" t="s">
        <v>209</v>
      </c>
      <c r="B42" s="123">
        <f>'10-Impacto Orçamentário Anual'!C21</f>
        <v>0</v>
      </c>
      <c r="D42" s="90" t="s">
        <v>209</v>
      </c>
      <c r="E42" s="123">
        <f>E40-E41</f>
        <v>0</v>
      </c>
    </row>
    <row r="43" spans="1:5" ht="12.75">
      <c r="A43" s="122"/>
      <c r="B43" s="121"/>
      <c r="D43" s="90"/>
      <c r="E43" s="121"/>
    </row>
    <row r="44" spans="1:5" ht="12.75">
      <c r="A44" s="126" t="s">
        <v>211</v>
      </c>
      <c r="B44" s="125"/>
      <c r="D44" s="125" t="s">
        <v>211</v>
      </c>
      <c r="E44" s="125"/>
    </row>
    <row r="45" spans="1:5" ht="12.75">
      <c r="A45" s="122"/>
      <c r="B45" s="121"/>
      <c r="D45" s="90"/>
      <c r="E45" s="121"/>
    </row>
    <row r="46" spans="1:5" ht="12.75">
      <c r="A46" s="122" t="s">
        <v>222</v>
      </c>
      <c r="B46" s="123">
        <f>'10-Impacto Orçamentário Anual'!C34</f>
        <v>0</v>
      </c>
      <c r="D46" s="90" t="s">
        <v>222</v>
      </c>
      <c r="E46" s="123">
        <f>'10-Impacto Orçamentário Anual'!C34+'10-Impacto Orçamentário Anual'!F34</f>
        <v>0</v>
      </c>
    </row>
    <row r="47" spans="1:5" ht="12.75">
      <c r="A47" s="122" t="s">
        <v>223</v>
      </c>
      <c r="B47" s="123">
        <f>'10-Impacto Orçamentário Anual'!C35</f>
        <v>0</v>
      </c>
      <c r="D47" s="90" t="s">
        <v>223</v>
      </c>
      <c r="E47" s="123">
        <f>'10-Impacto Orçamentário Anual'!F35</f>
        <v>0</v>
      </c>
    </row>
    <row r="48" spans="1:5" ht="12.75">
      <c r="A48" s="122" t="s">
        <v>224</v>
      </c>
      <c r="B48" s="123">
        <f>'10-Impacto Orçamentário Anual'!C36</f>
        <v>0</v>
      </c>
      <c r="D48" s="90" t="s">
        <v>224</v>
      </c>
      <c r="E48" s="123">
        <f>E46+E47</f>
        <v>0</v>
      </c>
    </row>
    <row r="49" spans="1:5" ht="12.75">
      <c r="A49" s="122" t="s">
        <v>182</v>
      </c>
      <c r="B49" s="123">
        <f>'10-Impacto Orçamentário Anual'!C37</f>
        <v>0</v>
      </c>
      <c r="D49" s="90" t="s">
        <v>182</v>
      </c>
      <c r="E49" s="123">
        <f>'10-Impacto Orçamentário Anual'!F37</f>
        <v>0</v>
      </c>
    </row>
    <row r="50" spans="1:5" ht="12.75">
      <c r="A50" s="124" t="s">
        <v>209</v>
      </c>
      <c r="B50" s="127">
        <f>'10-Impacto Orçamentário Anual'!C38</f>
        <v>0</v>
      </c>
      <c r="D50" s="88" t="s">
        <v>209</v>
      </c>
      <c r="E50" s="127">
        <f>E48-E49</f>
        <v>0</v>
      </c>
    </row>
    <row r="54" spans="1:5" ht="13.5" thickBot="1">
      <c r="A54" s="128" t="s">
        <v>256</v>
      </c>
      <c r="B54" s="73"/>
      <c r="D54" s="128" t="s">
        <v>257</v>
      </c>
      <c r="E54" s="73"/>
    </row>
    <row r="55" spans="1:5" ht="13.5" thickTop="1">
      <c r="A55" s="89"/>
      <c r="B55" s="89"/>
      <c r="D55" s="89"/>
      <c r="E55" s="89"/>
    </row>
    <row r="56" spans="1:5" ht="12.75">
      <c r="A56" s="125" t="s">
        <v>254</v>
      </c>
      <c r="B56" s="125"/>
      <c r="D56" s="125" t="s">
        <v>254</v>
      </c>
      <c r="E56" s="125"/>
    </row>
    <row r="57" spans="1:5" ht="12.75">
      <c r="A57" s="121"/>
      <c r="B57" s="121"/>
      <c r="D57" s="121"/>
      <c r="E57" s="121"/>
    </row>
    <row r="58" spans="1:5" ht="12.75">
      <c r="A58" s="90" t="s">
        <v>222</v>
      </c>
      <c r="B58" s="123">
        <f>'10-Impacto Orçamentário Anual'!I17+'10-Impacto Orçamentário Anual'!F17+'10-Impacto Orçamentário Anual'!C17</f>
        <v>0</v>
      </c>
      <c r="D58" s="90" t="s">
        <v>222</v>
      </c>
      <c r="E58" s="123">
        <f>'10-Impacto Orçamentário Anual'!L17+'10-Impacto Orçamentário Anual'!I17+'10-Impacto Orçamentário Anual'!F17+'10-Impacto Orçamentário Anual'!C17</f>
        <v>0</v>
      </c>
    </row>
    <row r="59" spans="1:5" ht="12.75">
      <c r="A59" s="90" t="s">
        <v>223</v>
      </c>
      <c r="B59" s="123">
        <f>'10-Impacto Orçamentário Anual'!I18</f>
        <v>0</v>
      </c>
      <c r="D59" s="90" t="s">
        <v>223</v>
      </c>
      <c r="E59" s="123">
        <f>'10-Impacto Orçamentário Anual'!L18</f>
        <v>0</v>
      </c>
    </row>
    <row r="60" spans="1:5" ht="12.75">
      <c r="A60" s="90" t="s">
        <v>224</v>
      </c>
      <c r="B60" s="123">
        <f>B58+B59</f>
        <v>0</v>
      </c>
      <c r="D60" s="90" t="s">
        <v>224</v>
      </c>
      <c r="E60" s="123">
        <f>E58+E59</f>
        <v>0</v>
      </c>
    </row>
    <row r="61" spans="1:5" ht="12.75">
      <c r="A61" s="90" t="s">
        <v>182</v>
      </c>
      <c r="B61" s="123">
        <f>'10-Impacto Orçamentário Anual'!I20</f>
        <v>0</v>
      </c>
      <c r="D61" s="90" t="s">
        <v>182</v>
      </c>
      <c r="E61" s="123">
        <f>'10-Impacto Orçamentário Anual'!L20</f>
        <v>0</v>
      </c>
    </row>
    <row r="62" spans="1:5" ht="12.75">
      <c r="A62" s="90" t="s">
        <v>209</v>
      </c>
      <c r="B62" s="123">
        <f>B60-B61</f>
        <v>0</v>
      </c>
      <c r="D62" s="90" t="s">
        <v>209</v>
      </c>
      <c r="E62" s="123">
        <f>E60-E61</f>
        <v>0</v>
      </c>
    </row>
    <row r="63" spans="1:5" ht="12.75">
      <c r="A63" s="90"/>
      <c r="B63" s="121"/>
      <c r="D63" s="90"/>
      <c r="E63" s="121"/>
    </row>
    <row r="64" spans="1:5" ht="12.75">
      <c r="A64" s="125" t="s">
        <v>210</v>
      </c>
      <c r="B64" s="125"/>
      <c r="D64" s="125" t="s">
        <v>210</v>
      </c>
      <c r="E64" s="125"/>
    </row>
    <row r="65" spans="1:5" ht="12.75">
      <c r="A65" s="90"/>
      <c r="B65" s="121"/>
      <c r="D65" s="90"/>
      <c r="E65" s="121"/>
    </row>
    <row r="66" spans="1:5" ht="12.75">
      <c r="A66" s="90" t="s">
        <v>222</v>
      </c>
      <c r="B66" s="123">
        <f>'10-Impacto Orçamentário Anual'!I26+'10-Impacto Orçamentário Anual'!F26+'10-Impacto Orçamentário Anual'!C26</f>
        <v>0</v>
      </c>
      <c r="D66" s="90" t="s">
        <v>222</v>
      </c>
      <c r="E66" s="123">
        <f>'10-Impacto Orçamentário Anual'!L26+'10-Impacto Orçamentário Anual'!I26+'10-Impacto Orçamentário Anual'!F26+'10-Impacto Orçamentário Anual'!C26</f>
        <v>0</v>
      </c>
    </row>
    <row r="67" spans="1:5" ht="12.75">
      <c r="A67" s="90" t="s">
        <v>223</v>
      </c>
      <c r="B67" s="123">
        <f>'10-Impacto Orçamentário Anual'!I27</f>
        <v>0</v>
      </c>
      <c r="D67" s="90" t="s">
        <v>223</v>
      </c>
      <c r="E67" s="123">
        <f>'10-Impacto Orçamentário Anual'!L27</f>
        <v>0</v>
      </c>
    </row>
    <row r="68" spans="1:5" ht="12.75">
      <c r="A68" s="90" t="s">
        <v>224</v>
      </c>
      <c r="B68" s="123">
        <f>B66+B67</f>
        <v>0</v>
      </c>
      <c r="D68" s="90" t="s">
        <v>224</v>
      </c>
      <c r="E68" s="123">
        <f>E66+E67</f>
        <v>0</v>
      </c>
    </row>
    <row r="69" spans="1:5" ht="12.75">
      <c r="A69" s="90" t="s">
        <v>182</v>
      </c>
      <c r="B69" s="123">
        <f>'10-Impacto Orçamentário Anual'!I29</f>
        <v>0</v>
      </c>
      <c r="D69" s="90" t="s">
        <v>182</v>
      </c>
      <c r="E69" s="123">
        <f>'10-Impacto Orçamentário Anual'!L29</f>
        <v>0</v>
      </c>
    </row>
    <row r="70" spans="1:5" ht="12.75">
      <c r="A70" s="90" t="s">
        <v>209</v>
      </c>
      <c r="B70" s="123">
        <f>B68-B69</f>
        <v>0</v>
      </c>
      <c r="D70" s="90" t="s">
        <v>209</v>
      </c>
      <c r="E70" s="123">
        <f>E68-E69</f>
        <v>0</v>
      </c>
    </row>
    <row r="71" spans="1:5" ht="12.75">
      <c r="A71" s="90"/>
      <c r="B71" s="121"/>
      <c r="D71" s="90"/>
      <c r="E71" s="121"/>
    </row>
    <row r="72" spans="1:5" ht="12.75">
      <c r="A72" s="125" t="s">
        <v>211</v>
      </c>
      <c r="B72" s="125"/>
      <c r="D72" s="125" t="s">
        <v>211</v>
      </c>
      <c r="E72" s="125"/>
    </row>
    <row r="73" spans="1:5" ht="12.75">
      <c r="A73" s="90"/>
      <c r="B73" s="121"/>
      <c r="D73" s="90"/>
      <c r="E73" s="121"/>
    </row>
    <row r="74" spans="1:5" ht="12.75">
      <c r="A74" s="90" t="s">
        <v>222</v>
      </c>
      <c r="B74" s="123">
        <f>'10-Impacto Orçamentário Anual'!I34+'10-Impacto Orçamentário Anual'!F34+'10-Impacto Orçamentário Anual'!C34</f>
        <v>0</v>
      </c>
      <c r="D74" s="90" t="s">
        <v>222</v>
      </c>
      <c r="E74" s="123">
        <f>'10-Impacto Orçamentário Anual'!L34+'10-Impacto Orçamentário Anual'!I34+'10-Impacto Orçamentário Anual'!F34+'10-Impacto Orçamentário Anual'!C34</f>
        <v>0</v>
      </c>
    </row>
    <row r="75" spans="1:5" ht="12.75">
      <c r="A75" s="90" t="s">
        <v>223</v>
      </c>
      <c r="B75" s="123">
        <f>'10-Impacto Orçamentário Anual'!I35</f>
        <v>0</v>
      </c>
      <c r="D75" s="90" t="s">
        <v>223</v>
      </c>
      <c r="E75" s="123">
        <f>'10-Impacto Orçamentário Anual'!L35</f>
        <v>0</v>
      </c>
    </row>
    <row r="76" spans="1:5" ht="12.75">
      <c r="A76" s="90" t="s">
        <v>224</v>
      </c>
      <c r="B76" s="123">
        <f>B74+B75</f>
        <v>0</v>
      </c>
      <c r="D76" s="90" t="s">
        <v>224</v>
      </c>
      <c r="E76" s="123">
        <f>E74+E75</f>
        <v>0</v>
      </c>
    </row>
    <row r="77" spans="1:5" ht="12.75">
      <c r="A77" s="90" t="s">
        <v>182</v>
      </c>
      <c r="B77" s="123">
        <f>'10-Impacto Orçamentário Anual'!I37</f>
        <v>0</v>
      </c>
      <c r="D77" s="90" t="s">
        <v>182</v>
      </c>
      <c r="E77" s="123">
        <f>'10-Impacto Orçamentário Anual'!L37</f>
        <v>0</v>
      </c>
    </row>
    <row r="78" spans="1:5" ht="12.75">
      <c r="A78" s="88" t="s">
        <v>209</v>
      </c>
      <c r="B78" s="127">
        <f>B76-B77</f>
        <v>0</v>
      </c>
      <c r="D78" s="88" t="s">
        <v>209</v>
      </c>
      <c r="E78" s="127">
        <f>E76-E77</f>
        <v>0</v>
      </c>
    </row>
    <row r="82" spans="1:2" ht="13.5" thickBot="1">
      <c r="A82" s="128" t="s">
        <v>258</v>
      </c>
      <c r="B82" s="73"/>
    </row>
    <row r="83" spans="1:2" ht="13.5" thickTop="1">
      <c r="A83" s="89"/>
      <c r="B83" s="89"/>
    </row>
    <row r="84" spans="1:2" ht="12.75">
      <c r="A84" s="125" t="s">
        <v>254</v>
      </c>
      <c r="B84" s="125"/>
    </row>
    <row r="85" spans="1:2" ht="12.75">
      <c r="A85" s="121"/>
      <c r="B85" s="121"/>
    </row>
    <row r="86" spans="1:2" ht="12.75">
      <c r="A86" s="90" t="s">
        <v>222</v>
      </c>
      <c r="B86" s="123">
        <f>'10-Impacto Orçamentário Anual'!C17+'10-Impacto Orçamentário Anual'!F17+'10-Impacto Orçamentário Anual'!I17+'10-Impacto Orçamentário Anual'!L17+'10-Impacto Orçamentário Anual'!O17</f>
        <v>0</v>
      </c>
    </row>
    <row r="87" spans="1:2" ht="12.75">
      <c r="A87" s="90" t="s">
        <v>223</v>
      </c>
      <c r="B87" s="123">
        <f>'10-Impacto Orçamentário Anual'!O18</f>
        <v>0</v>
      </c>
    </row>
    <row r="88" spans="1:2" ht="12.75">
      <c r="A88" s="90" t="s">
        <v>224</v>
      </c>
      <c r="B88" s="123">
        <f>B86+B87</f>
        <v>0</v>
      </c>
    </row>
    <row r="89" spans="1:2" ht="12.75">
      <c r="A89" s="90" t="s">
        <v>182</v>
      </c>
      <c r="B89" s="123">
        <f>'10-Impacto Orçamentário Anual'!O20</f>
        <v>0</v>
      </c>
    </row>
    <row r="90" spans="1:2" ht="12.75">
      <c r="A90" s="90" t="s">
        <v>209</v>
      </c>
      <c r="B90" s="123">
        <f>B88-B89</f>
        <v>0</v>
      </c>
    </row>
    <row r="91" spans="1:2" ht="12.75">
      <c r="A91" s="90"/>
      <c r="B91" s="121"/>
    </row>
    <row r="92" spans="1:2" ht="12.75">
      <c r="A92" s="125" t="s">
        <v>210</v>
      </c>
      <c r="B92" s="125"/>
    </row>
    <row r="93" spans="1:2" ht="12.75">
      <c r="A93" s="90"/>
      <c r="B93" s="121"/>
    </row>
    <row r="94" spans="1:2" ht="12.75">
      <c r="A94" s="90" t="s">
        <v>222</v>
      </c>
      <c r="B94" s="123">
        <f>'10-Impacto Orçamentário Anual'!O26+'10-Impacto Orçamentário Anual'!L26+'10-Impacto Orçamentário Anual'!I26+'10-Impacto Orçamentário Anual'!F26+'10-Impacto Orçamentário Anual'!C26</f>
        <v>0</v>
      </c>
    </row>
    <row r="95" spans="1:2" ht="12.75">
      <c r="A95" s="90" t="s">
        <v>223</v>
      </c>
      <c r="B95" s="123">
        <f>'10-Impacto Orçamentário Anual'!O27</f>
        <v>0</v>
      </c>
    </row>
    <row r="96" spans="1:2" ht="12.75">
      <c r="A96" s="90" t="s">
        <v>224</v>
      </c>
      <c r="B96" s="123">
        <f>B94+B95</f>
        <v>0</v>
      </c>
    </row>
    <row r="97" spans="1:2" ht="12.75">
      <c r="A97" s="90" t="s">
        <v>182</v>
      </c>
      <c r="B97" s="123">
        <f>'10-Impacto Orçamentário Anual'!O29</f>
        <v>0</v>
      </c>
    </row>
    <row r="98" spans="1:2" ht="12.75">
      <c r="A98" s="90" t="s">
        <v>209</v>
      </c>
      <c r="B98" s="123">
        <f>B96-B97</f>
        <v>0</v>
      </c>
    </row>
    <row r="99" spans="1:2" ht="12.75">
      <c r="A99" s="90"/>
      <c r="B99" s="121"/>
    </row>
    <row r="100" spans="1:2" ht="12.75">
      <c r="A100" s="125" t="s">
        <v>211</v>
      </c>
      <c r="B100" s="125"/>
    </row>
    <row r="101" spans="1:2" ht="12.75">
      <c r="A101" s="90"/>
      <c r="B101" s="121"/>
    </row>
    <row r="102" spans="1:2" ht="12.75">
      <c r="A102" s="90" t="s">
        <v>222</v>
      </c>
      <c r="B102" s="123">
        <f>'10-Impacto Orçamentário Anual'!O34+'10-Impacto Orçamentário Anual'!L34+'10-Impacto Orçamentário Anual'!I34+'10-Impacto Orçamentário Anual'!F34+'10-Impacto Orçamentário Anual'!C34</f>
        <v>0</v>
      </c>
    </row>
    <row r="103" spans="1:2" ht="12.75">
      <c r="A103" s="90" t="s">
        <v>223</v>
      </c>
      <c r="B103" s="123">
        <f>'10-Impacto Orçamentário Anual'!O35</f>
        <v>0</v>
      </c>
    </row>
    <row r="104" spans="1:2" ht="12.75">
      <c r="A104" s="90" t="s">
        <v>224</v>
      </c>
      <c r="B104" s="123">
        <f>B102+B103</f>
        <v>0</v>
      </c>
    </row>
    <row r="105" spans="1:2" ht="12.75">
      <c r="A105" s="90" t="s">
        <v>182</v>
      </c>
      <c r="B105" s="123">
        <f>'10-Impacto Orçamentário Anual'!O37</f>
        <v>0</v>
      </c>
    </row>
    <row r="106" spans="1:2" ht="12.75">
      <c r="A106" s="88" t="s">
        <v>209</v>
      </c>
      <c r="B106" s="127">
        <f>B104-B105</f>
        <v>0</v>
      </c>
    </row>
  </sheetData>
  <sheetProtection/>
  <mergeCells count="6">
    <mergeCell ref="F17:G17"/>
    <mergeCell ref="F18:G18"/>
    <mergeCell ref="F4:G4"/>
    <mergeCell ref="F5:G5"/>
    <mergeCell ref="F14:G14"/>
    <mergeCell ref="F15:G15"/>
  </mergeCells>
  <conditionalFormatting sqref="E15:G15">
    <cfRule type="expression" priority="1" dxfId="1" stopIfTrue="1">
      <formula>$G$15=0</formula>
    </cfRule>
  </conditionalFormatting>
  <conditionalFormatting sqref="E14:G14">
    <cfRule type="expression" priority="2" dxfId="1" stopIfTrue="1">
      <formula>$G$14=0</formula>
    </cfRule>
  </conditionalFormatting>
  <conditionalFormatting sqref="F19:G21">
    <cfRule type="expression" priority="3" dxfId="0" stopIfTrue="1">
      <formula>$G$14=0</formula>
    </cfRule>
  </conditionalFormatting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F39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" width="13.00390625" style="135" customWidth="1"/>
    <col min="2" max="2" width="20.28125" style="135" customWidth="1"/>
    <col min="3" max="3" width="23.7109375" style="135" customWidth="1"/>
    <col min="4" max="4" width="9.140625" style="135" customWidth="1"/>
    <col min="5" max="5" width="56.421875" style="135" customWidth="1"/>
    <col min="6" max="6" width="68.8515625" style="135" customWidth="1"/>
    <col min="7" max="16384" width="9.140625" style="135" customWidth="1"/>
  </cols>
  <sheetData>
    <row r="5" spans="1:6" ht="12.75">
      <c r="A5" s="133" t="s">
        <v>100</v>
      </c>
      <c r="B5" s="133" t="s">
        <v>99</v>
      </c>
      <c r="C5" s="133" t="s">
        <v>114</v>
      </c>
      <c r="D5" s="134" t="s">
        <v>148</v>
      </c>
      <c r="E5" s="133" t="s">
        <v>166</v>
      </c>
      <c r="F5" s="133" t="s">
        <v>156</v>
      </c>
    </row>
    <row r="6" spans="1:6" ht="12.75">
      <c r="A6" s="133">
        <v>1</v>
      </c>
      <c r="B6" s="133" t="s">
        <v>95</v>
      </c>
      <c r="C6" s="133" t="s">
        <v>115</v>
      </c>
      <c r="D6" s="134" t="s">
        <v>149</v>
      </c>
      <c r="E6" s="133" t="s">
        <v>163</v>
      </c>
      <c r="F6" s="133" t="s">
        <v>168</v>
      </c>
    </row>
    <row r="7" spans="1:6" ht="12.75">
      <c r="A7" s="133">
        <v>2</v>
      </c>
      <c r="B7" s="133" t="s">
        <v>96</v>
      </c>
      <c r="C7" s="133" t="s">
        <v>116</v>
      </c>
      <c r="D7" s="134" t="s">
        <v>150</v>
      </c>
      <c r="E7" s="133" t="s">
        <v>164</v>
      </c>
      <c r="F7" s="133" t="s">
        <v>158</v>
      </c>
    </row>
    <row r="8" spans="1:5" ht="12.75">
      <c r="A8" s="133">
        <v>3</v>
      </c>
      <c r="B8" s="135" t="s">
        <v>151</v>
      </c>
      <c r="E8" s="133"/>
    </row>
    <row r="9" spans="1:5" ht="12.75">
      <c r="A9" s="133">
        <v>4</v>
      </c>
      <c r="E9" s="136"/>
    </row>
    <row r="10" spans="1:6" ht="12.75">
      <c r="A10" s="133">
        <v>5</v>
      </c>
      <c r="E10" s="133" t="s">
        <v>162</v>
      </c>
      <c r="F10" s="133">
        <f>IF('3-Dinâmica dos Implantes'!D7=0,'3-Dinâmica dos Implantes'!D4,'3-Dinâmica dos Implantes'!D7)</f>
        <v>0</v>
      </c>
    </row>
    <row r="11" spans="5:6" ht="12.75">
      <c r="E11" s="133" t="s">
        <v>160</v>
      </c>
      <c r="F11" s="133">
        <f>F10*2</f>
        <v>0</v>
      </c>
    </row>
    <row r="12" spans="1:6" ht="12.75">
      <c r="A12" s="137" t="s">
        <v>103</v>
      </c>
      <c r="E12" s="133" t="s">
        <v>161</v>
      </c>
      <c r="F12" s="133">
        <f>F10</f>
        <v>0</v>
      </c>
    </row>
    <row r="13" spans="1:6" ht="12.75">
      <c r="A13" s="137"/>
      <c r="E13" s="138" t="s">
        <v>165</v>
      </c>
      <c r="F13" s="138">
        <f>IF('3-Dinâmica dos Implantes'!C22=Programação!E6,Programação!F11,Programação!F12)</f>
        <v>0</v>
      </c>
    </row>
    <row r="14" ht="12.75">
      <c r="A14" s="139">
        <f>SUM('3-Dinâmica dos Implantes'!C7:C11)</f>
        <v>0</v>
      </c>
    </row>
    <row r="17" spans="1:2" ht="12.75">
      <c r="A17" s="133" t="s">
        <v>170</v>
      </c>
      <c r="B17" s="133" t="s">
        <v>186</v>
      </c>
    </row>
    <row r="18" spans="1:4" ht="12.75">
      <c r="A18" s="140" t="s">
        <v>149</v>
      </c>
      <c r="B18" s="132" t="s">
        <v>149</v>
      </c>
      <c r="D18" s="135" t="s">
        <v>215</v>
      </c>
    </row>
    <row r="19" spans="1:2" ht="12.75">
      <c r="A19" s="140" t="s">
        <v>150</v>
      </c>
      <c r="B19" s="133" t="s">
        <v>150</v>
      </c>
    </row>
    <row r="23" ht="12.75">
      <c r="A23" s="141" t="s">
        <v>260</v>
      </c>
    </row>
    <row r="24" spans="1:2" ht="12.75">
      <c r="A24" s="135" t="s">
        <v>68</v>
      </c>
      <c r="B24" s="142">
        <f>'11-Relatório'!B34</f>
        <v>0</v>
      </c>
    </row>
    <row r="25" spans="1:2" ht="12.75">
      <c r="A25" s="135" t="s">
        <v>69</v>
      </c>
      <c r="B25" s="142">
        <f>'11-Relatório'!E34</f>
        <v>0</v>
      </c>
    </row>
    <row r="26" spans="1:2" ht="12.75">
      <c r="A26" s="135" t="s">
        <v>70</v>
      </c>
      <c r="B26" s="142">
        <f>'11-Relatório'!B62</f>
        <v>0</v>
      </c>
    </row>
    <row r="27" spans="1:2" ht="12.75">
      <c r="A27" s="135" t="s">
        <v>71</v>
      </c>
      <c r="B27" s="142">
        <f>'11-Relatório'!E62</f>
        <v>0</v>
      </c>
    </row>
    <row r="28" spans="1:2" ht="12.75">
      <c r="A28" s="135" t="s">
        <v>72</v>
      </c>
      <c r="B28" s="142">
        <f>'11-Relatório'!B90</f>
        <v>0</v>
      </c>
    </row>
    <row r="31" ht="12.75">
      <c r="A31" s="141" t="s">
        <v>261</v>
      </c>
    </row>
    <row r="32" spans="1:2" ht="12.75">
      <c r="A32" s="135" t="s">
        <v>68</v>
      </c>
      <c r="B32" s="137">
        <f>'3-Dinâmica dos Implantes'!D7</f>
        <v>0</v>
      </c>
    </row>
    <row r="33" spans="1:2" ht="12.75">
      <c r="A33" s="135" t="s">
        <v>69</v>
      </c>
      <c r="B33" s="137">
        <f>'3-Dinâmica dos Implantes'!D8</f>
        <v>0</v>
      </c>
    </row>
    <row r="34" spans="1:2" ht="12.75">
      <c r="A34" s="135" t="s">
        <v>70</v>
      </c>
      <c r="B34" s="137">
        <f>'3-Dinâmica dos Implantes'!D9</f>
        <v>0</v>
      </c>
    </row>
    <row r="35" spans="1:2" ht="12.75">
      <c r="A35" s="135" t="s">
        <v>71</v>
      </c>
      <c r="B35" s="137">
        <f>'3-Dinâmica dos Implantes'!D10</f>
        <v>0</v>
      </c>
    </row>
    <row r="36" spans="1:2" ht="12.75">
      <c r="A36" s="135" t="s">
        <v>72</v>
      </c>
      <c r="B36" s="137">
        <f>'3-Dinâmica dos Implantes'!D11</f>
        <v>0</v>
      </c>
    </row>
    <row r="39" ht="12.75">
      <c r="A39" s="135" t="s">
        <v>262</v>
      </c>
    </row>
  </sheetData>
  <sheetProtection password="E845" sheet="1" objects="1" scenarios="1"/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C17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9.140625" style="3" customWidth="1"/>
    <col min="2" max="2" width="60.8515625" style="3" customWidth="1"/>
    <col min="3" max="3" width="57.28125" style="5" customWidth="1"/>
    <col min="4" max="16384" width="9.140625" style="3" customWidth="1"/>
  </cols>
  <sheetData>
    <row r="3" ht="12.75">
      <c r="B3" s="4" t="s">
        <v>11</v>
      </c>
    </row>
    <row r="5" spans="2:3" ht="12.75">
      <c r="B5" s="3" t="s">
        <v>17</v>
      </c>
      <c r="C5" s="2" t="s">
        <v>77</v>
      </c>
    </row>
    <row r="6" spans="2:3" ht="12.75">
      <c r="B6" s="3" t="s">
        <v>12</v>
      </c>
      <c r="C6" s="2" t="s">
        <v>78</v>
      </c>
    </row>
    <row r="8" spans="2:3" ht="12.75">
      <c r="B8" s="3" t="s">
        <v>154</v>
      </c>
      <c r="C8" s="31">
        <v>5</v>
      </c>
    </row>
    <row r="10" spans="2:3" ht="12.75">
      <c r="B10" s="3" t="s">
        <v>13</v>
      </c>
      <c r="C10" s="2" t="s">
        <v>267</v>
      </c>
    </row>
    <row r="11" spans="2:3" ht="12.75">
      <c r="B11" s="3" t="s">
        <v>79</v>
      </c>
      <c r="C11" s="2" t="s">
        <v>268</v>
      </c>
    </row>
    <row r="12" ht="12.75">
      <c r="B12" s="3" t="s">
        <v>274</v>
      </c>
    </row>
    <row r="14" spans="2:3" ht="12.75">
      <c r="B14" s="3" t="s">
        <v>14</v>
      </c>
      <c r="C14" s="2" t="s">
        <v>14</v>
      </c>
    </row>
    <row r="15" spans="2:3" ht="12.75">
      <c r="B15" s="3" t="s">
        <v>15</v>
      </c>
      <c r="C15" s="2" t="s">
        <v>269</v>
      </c>
    </row>
    <row r="17" spans="2:3" ht="12.75">
      <c r="B17" s="3" t="s">
        <v>16</v>
      </c>
      <c r="C17" s="2" t="s">
        <v>270</v>
      </c>
    </row>
  </sheetData>
  <sheetProtection/>
  <dataValidations count="1">
    <dataValidation type="list" showInputMessage="1" showErrorMessage="1" sqref="C8">
      <formula1>Menu0</formula1>
    </dataValidation>
  </dataValidations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6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2.28125" style="3" customWidth="1"/>
    <col min="2" max="2" width="70.7109375" style="3" customWidth="1"/>
    <col min="3" max="3" width="37.421875" style="5" customWidth="1"/>
    <col min="4" max="4" width="19.28125" style="3" customWidth="1"/>
    <col min="5" max="5" width="19.8515625" style="3" customWidth="1"/>
    <col min="6" max="6" width="19.7109375" style="3" customWidth="1"/>
    <col min="7" max="16384" width="9.140625" style="3" customWidth="1"/>
  </cols>
  <sheetData>
    <row r="1" ht="12.75">
      <c r="B1" s="4" t="s">
        <v>18</v>
      </c>
    </row>
    <row r="2" ht="12.75">
      <c r="B2" s="21" t="s">
        <v>98</v>
      </c>
    </row>
    <row r="3" ht="12.75">
      <c r="B3" s="6"/>
    </row>
    <row r="4" ht="12.75">
      <c r="B4" s="4" t="s">
        <v>19</v>
      </c>
    </row>
    <row r="5" spans="2:3" ht="12.75">
      <c r="B5" s="3" t="s">
        <v>20</v>
      </c>
      <c r="C5" s="72">
        <v>0</v>
      </c>
    </row>
    <row r="6" spans="2:4" ht="12.75">
      <c r="B6" s="3" t="s">
        <v>80</v>
      </c>
      <c r="C6" s="146">
        <v>0</v>
      </c>
      <c r="D6" s="12">
        <f>C5*C6</f>
        <v>0</v>
      </c>
    </row>
    <row r="7" ht="12.75">
      <c r="B7" s="3" t="s">
        <v>81</v>
      </c>
    </row>
    <row r="8" spans="2:4" ht="12.75">
      <c r="B8" s="3" t="s">
        <v>21</v>
      </c>
      <c r="C8" s="145">
        <v>0</v>
      </c>
      <c r="D8" s="9">
        <f>D6*C8</f>
        <v>0</v>
      </c>
    </row>
    <row r="9" spans="2:5" ht="12.75">
      <c r="B9" s="3" t="s">
        <v>22</v>
      </c>
      <c r="C9" s="146">
        <v>0</v>
      </c>
      <c r="D9" s="10">
        <f>D8*C9</f>
        <v>0</v>
      </c>
      <c r="E9" s="10">
        <f>D9+D9*0.016</f>
        <v>0</v>
      </c>
    </row>
    <row r="11" spans="2:3" ht="12.75">
      <c r="B11" s="3" t="s">
        <v>23</v>
      </c>
      <c r="C11" s="2">
        <v>0</v>
      </c>
    </row>
    <row r="12" spans="2:3" ht="12.75">
      <c r="B12" s="3" t="s">
        <v>85</v>
      </c>
      <c r="C12" s="3" t="s">
        <v>24</v>
      </c>
    </row>
    <row r="13" spans="2:3" ht="12.75">
      <c r="B13" s="3" t="s">
        <v>86</v>
      </c>
      <c r="C13" s="3" t="s">
        <v>25</v>
      </c>
    </row>
    <row r="15" spans="2:3" ht="18">
      <c r="B15" s="3" t="s">
        <v>84</v>
      </c>
      <c r="C15" s="15">
        <f>IF(D9=0,D8,D9)</f>
        <v>0</v>
      </c>
    </row>
    <row r="16" spans="2:3" ht="18">
      <c r="B16" s="3" t="s">
        <v>83</v>
      </c>
      <c r="C16" s="16">
        <f>C15*C11</f>
        <v>0</v>
      </c>
    </row>
    <row r="18" ht="12.75">
      <c r="B18" s="4" t="s">
        <v>26</v>
      </c>
    </row>
    <row r="19" spans="2:3" ht="12.75">
      <c r="B19" s="3" t="s">
        <v>241</v>
      </c>
      <c r="C19" s="8"/>
    </row>
    <row r="20" ht="12.75">
      <c r="B20" s="3" t="s">
        <v>87</v>
      </c>
    </row>
    <row r="24" ht="12.75">
      <c r="B24" s="18" t="s">
        <v>97</v>
      </c>
    </row>
    <row r="25" ht="12.75">
      <c r="B25" s="19" t="s">
        <v>95</v>
      </c>
    </row>
    <row r="26" spans="2:3" ht="18">
      <c r="B26" s="20" t="s">
        <v>240</v>
      </c>
      <c r="C26" s="56">
        <f>IF(B25=Programação!B6,C15,C19)</f>
        <v>0</v>
      </c>
    </row>
  </sheetData>
  <sheetProtection/>
  <dataValidations count="1">
    <dataValidation type="list" showInputMessage="1" showErrorMessage="1" sqref="B25">
      <formula1>Menu1</formula1>
    </dataValidation>
  </dataValidations>
  <printOptions/>
  <pageMargins left="0.787401575" right="0.787401575" top="0.984251969" bottom="0.984251969" header="0.492125985" footer="0.49212598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4:D29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2.140625" style="3" customWidth="1"/>
    <col min="2" max="2" width="59.7109375" style="3" customWidth="1"/>
    <col min="3" max="3" width="64.421875" style="3" customWidth="1"/>
    <col min="4" max="4" width="16.421875" style="3" customWidth="1"/>
    <col min="5" max="16384" width="9.140625" style="3" customWidth="1"/>
  </cols>
  <sheetData>
    <row r="4" spans="2:4" ht="12.75">
      <c r="B4" s="4" t="s">
        <v>275</v>
      </c>
      <c r="D4" s="22">
        <f>'2-Quantos dispositivos'!C26</f>
        <v>0</v>
      </c>
    </row>
    <row r="6" ht="12.75">
      <c r="B6" s="4" t="s">
        <v>102</v>
      </c>
    </row>
    <row r="7" spans="2:4" ht="12.75">
      <c r="B7" s="3" t="s">
        <v>68</v>
      </c>
      <c r="C7" s="147">
        <v>0</v>
      </c>
      <c r="D7" s="17">
        <f>$D$4*C7</f>
        <v>0</v>
      </c>
    </row>
    <row r="8" spans="2:4" ht="12.75">
      <c r="B8" s="3" t="s">
        <v>69</v>
      </c>
      <c r="C8" s="148">
        <v>0</v>
      </c>
      <c r="D8" s="17">
        <f>IF(Programação!$A$14&gt;1,Programação!$A$12,C8*$D$4)</f>
        <v>0</v>
      </c>
    </row>
    <row r="9" spans="2:4" ht="12.75">
      <c r="B9" s="3" t="s">
        <v>70</v>
      </c>
      <c r="C9" s="148">
        <v>0</v>
      </c>
      <c r="D9" s="17">
        <f>IF(Programação!$A$14&gt;1,Programação!$A$12,C9*$D$4)</f>
        <v>0</v>
      </c>
    </row>
    <row r="10" spans="2:4" ht="12.75">
      <c r="B10" s="3" t="s">
        <v>71</v>
      </c>
      <c r="C10" s="148">
        <v>0</v>
      </c>
      <c r="D10" s="17">
        <f>IF(Programação!$A$14&gt;1,Programação!$A$12,C10*$D$4)</f>
        <v>0</v>
      </c>
    </row>
    <row r="11" spans="2:4" ht="12.75">
      <c r="B11" s="3" t="s">
        <v>72</v>
      </c>
      <c r="C11" s="148">
        <v>0</v>
      </c>
      <c r="D11" s="17">
        <f>IF(Programação!$A$14&gt;1,Programação!$A$12,C11*$D$4)</f>
        <v>0</v>
      </c>
    </row>
    <row r="12" ht="12.75">
      <c r="C12" s="17"/>
    </row>
    <row r="13" spans="2:4" ht="12.75">
      <c r="B13" s="3" t="s">
        <v>109</v>
      </c>
      <c r="C13" s="130">
        <f>SUM(C7:C11)</f>
        <v>0</v>
      </c>
      <c r="D13" s="17">
        <f>SUM(D7:D11)</f>
        <v>0</v>
      </c>
    </row>
    <row r="15" spans="2:3" ht="12.75">
      <c r="B15" s="4" t="s">
        <v>104</v>
      </c>
      <c r="C15" s="57">
        <f>D13/5</f>
        <v>0</v>
      </c>
    </row>
    <row r="17" ht="12.75">
      <c r="B17" s="3" t="s">
        <v>167</v>
      </c>
    </row>
    <row r="19" spans="2:3" ht="12.75">
      <c r="B19" s="4" t="s">
        <v>159</v>
      </c>
      <c r="C19" s="24" t="s">
        <v>158</v>
      </c>
    </row>
    <row r="22" spans="2:3" ht="12.75">
      <c r="B22" s="4" t="s">
        <v>157</v>
      </c>
      <c r="C22" s="58" t="s">
        <v>164</v>
      </c>
    </row>
    <row r="23" spans="2:3" ht="12.75">
      <c r="B23" s="3" t="s">
        <v>155</v>
      </c>
      <c r="C23" s="5"/>
    </row>
    <row r="26" spans="2:3" ht="12.75">
      <c r="B26" s="4" t="s">
        <v>288</v>
      </c>
      <c r="C26" s="57">
        <f>IF(C19=Programação!F7,0,Programação!F13)</f>
        <v>0</v>
      </c>
    </row>
    <row r="28" spans="2:3" ht="12.75">
      <c r="B28" s="5"/>
      <c r="C28" s="3" t="s">
        <v>152</v>
      </c>
    </row>
    <row r="29" spans="2:3" ht="12.75">
      <c r="B29" s="5"/>
      <c r="C29" s="3" t="s">
        <v>153</v>
      </c>
    </row>
  </sheetData>
  <sheetProtection/>
  <dataValidations count="2">
    <dataValidation type="list" allowBlank="1" showInputMessage="1" showErrorMessage="1" sqref="C22">
      <formula1>Menu4.2</formula1>
    </dataValidation>
    <dataValidation type="list" allowBlank="1" showInputMessage="1" showErrorMessage="1" sqref="C19">
      <formula1>Menu5</formula1>
    </dataValidation>
  </dataValidations>
  <printOptions/>
  <pageMargins left="0.787401575" right="0.787401575" top="0.984251969" bottom="0.984251969" header="0.492125985" footer="0.49212598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K22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7.421875" style="3" customWidth="1"/>
    <col min="2" max="2" width="60.421875" style="3" customWidth="1"/>
    <col min="3" max="3" width="14.7109375" style="3" customWidth="1"/>
    <col min="4" max="16384" width="9.140625" style="3" customWidth="1"/>
  </cols>
  <sheetData>
    <row r="3" ht="12.75">
      <c r="A3" s="11"/>
    </row>
    <row r="5" ht="12.75">
      <c r="B5" s="4" t="s">
        <v>101</v>
      </c>
    </row>
    <row r="6" spans="3:11" ht="12.75">
      <c r="C6" s="5"/>
      <c r="E6" s="68" t="s">
        <v>185</v>
      </c>
      <c r="F6" s="23"/>
      <c r="G6" s="23"/>
      <c r="H6" s="23"/>
      <c r="I6" s="23"/>
      <c r="J6" s="23"/>
      <c r="K6" s="24" t="s">
        <v>150</v>
      </c>
    </row>
    <row r="8" spans="2:5" ht="12.75">
      <c r="B8" s="4" t="s">
        <v>82</v>
      </c>
      <c r="E8" s="3" t="s">
        <v>188</v>
      </c>
    </row>
    <row r="9" spans="2:5" ht="12.75">
      <c r="B9" s="4" t="s">
        <v>289</v>
      </c>
      <c r="C9" s="7"/>
      <c r="D9" s="17" t="s">
        <v>187</v>
      </c>
      <c r="E9" s="69">
        <f>IF(K6=Programação!B18,'4-Dinâmica da Doença'!C9/2,'4-Dinâmica da Doença'!C9)</f>
        <v>0</v>
      </c>
    </row>
    <row r="10" ht="12.75">
      <c r="C10" s="71">
        <f>'2-Quantos dispositivos'!D9*C9</f>
        <v>0</v>
      </c>
    </row>
    <row r="11" ht="12.75">
      <c r="C11" s="5"/>
    </row>
    <row r="12" ht="12.75">
      <c r="B12" s="4" t="s">
        <v>27</v>
      </c>
    </row>
    <row r="13" ht="12.75">
      <c r="B13" s="3" t="s">
        <v>88</v>
      </c>
    </row>
    <row r="14" spans="2:5" ht="12.75">
      <c r="B14" s="4" t="s">
        <v>89</v>
      </c>
      <c r="C14" s="1" t="s">
        <v>271</v>
      </c>
      <c r="D14" s="1"/>
      <c r="E14" s="1"/>
    </row>
    <row r="16" spans="2:3" ht="12.75">
      <c r="B16" s="4" t="s">
        <v>53</v>
      </c>
      <c r="C16" s="13"/>
    </row>
    <row r="17" spans="2:3" ht="12.75">
      <c r="B17" s="4" t="s">
        <v>90</v>
      </c>
      <c r="C17" s="13"/>
    </row>
    <row r="18" spans="2:5" ht="12.75">
      <c r="B18" s="4" t="s">
        <v>91</v>
      </c>
      <c r="C18" s="70">
        <f>IF(C16=0,0,(C17/C16))</f>
        <v>0</v>
      </c>
      <c r="D18" s="17" t="s">
        <v>187</v>
      </c>
      <c r="E18" s="69">
        <f>IF(K6=Programação!B18,'4-Dinâmica da Doença'!C18/2,'4-Dinâmica da Doença'!C18)</f>
        <v>0</v>
      </c>
    </row>
    <row r="19" ht="12.75">
      <c r="C19" s="14"/>
    </row>
    <row r="20" spans="2:3" ht="12.75">
      <c r="B20" s="4" t="s">
        <v>92</v>
      </c>
      <c r="C20" s="13"/>
    </row>
    <row r="21" spans="2:3" ht="12.75">
      <c r="B21" s="4" t="s">
        <v>93</v>
      </c>
      <c r="C21" s="13"/>
    </row>
    <row r="22" spans="2:5" ht="12.75">
      <c r="B22" s="4" t="s">
        <v>94</v>
      </c>
      <c r="C22" s="70">
        <f>IF(C20=0,0,C21/C20)</f>
        <v>0</v>
      </c>
      <c r="D22" s="17" t="s">
        <v>187</v>
      </c>
      <c r="E22" s="69">
        <f>IF(K6=Programação!B18,'4-Dinâmica da Doença'!C22/2,'4-Dinâmica da Doença'!C22)</f>
        <v>0</v>
      </c>
    </row>
  </sheetData>
  <sheetProtection/>
  <dataValidations count="1">
    <dataValidation type="list" allowBlank="1" showInputMessage="1" showErrorMessage="1" sqref="K6">
      <formula1>Menu7</formula1>
    </dataValidation>
  </dataValidations>
  <printOptions/>
  <pageMargins left="0.787401575" right="0.787401575" top="0.984251969" bottom="0.984251969" header="0.492125985" footer="0.49212598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F32"/>
  <sheetViews>
    <sheetView zoomScalePageLayoutView="0" workbookViewId="0" topLeftCell="A10">
      <selection activeCell="B35" sqref="B35"/>
    </sheetView>
  </sheetViews>
  <sheetFormatPr defaultColWidth="9.140625" defaultRowHeight="12.75"/>
  <cols>
    <col min="1" max="1" width="9.140625" style="3" customWidth="1"/>
    <col min="2" max="2" width="50.421875" style="3" customWidth="1"/>
    <col min="3" max="3" width="28.140625" style="3" customWidth="1"/>
    <col min="4" max="4" width="21.28125" style="3" customWidth="1"/>
    <col min="5" max="5" width="21.7109375" style="3" customWidth="1"/>
    <col min="6" max="6" width="9.421875" style="3" bestFit="1" customWidth="1"/>
    <col min="7" max="16384" width="9.140625" style="3" customWidth="1"/>
  </cols>
  <sheetData>
    <row r="1" ht="18">
      <c r="B1" s="32" t="s">
        <v>28</v>
      </c>
    </row>
    <row r="3" spans="2:3" ht="12.75">
      <c r="B3" s="20" t="s">
        <v>113</v>
      </c>
      <c r="C3" s="25"/>
    </row>
    <row r="4" ht="18">
      <c r="B4" s="35" t="s">
        <v>115</v>
      </c>
    </row>
    <row r="5" spans="2:3" ht="18">
      <c r="B5" s="33" t="s">
        <v>117</v>
      </c>
      <c r="C5" s="34">
        <f>IF(B4=Programação!C6,'5-Custos Implante'!D11,'5-Custos Implante'!D32)</f>
        <v>0</v>
      </c>
    </row>
    <row r="8" ht="12.75">
      <c r="B8" s="4" t="s">
        <v>29</v>
      </c>
    </row>
    <row r="9" ht="12.75">
      <c r="B9" s="3" t="s">
        <v>276</v>
      </c>
    </row>
    <row r="10" ht="12.75">
      <c r="B10" s="3" t="s">
        <v>105</v>
      </c>
    </row>
    <row r="11" spans="2:4" ht="18">
      <c r="B11" s="20" t="s">
        <v>118</v>
      </c>
      <c r="C11" s="23"/>
      <c r="D11" s="29">
        <v>0</v>
      </c>
    </row>
    <row r="13" ht="12.75">
      <c r="B13" s="4" t="s">
        <v>112</v>
      </c>
    </row>
    <row r="15" spans="2:3" ht="12.75">
      <c r="B15" s="4" t="s">
        <v>30</v>
      </c>
      <c r="C15" s="27">
        <v>0</v>
      </c>
    </row>
    <row r="16" ht="12.75">
      <c r="B16" s="4" t="s">
        <v>31</v>
      </c>
    </row>
    <row r="17" spans="2:3" ht="12.75">
      <c r="B17" s="3" t="s">
        <v>265</v>
      </c>
      <c r="C17" s="27">
        <v>0</v>
      </c>
    </row>
    <row r="18" spans="2:3" ht="12.75">
      <c r="B18" s="3" t="s">
        <v>32</v>
      </c>
      <c r="C18" s="27">
        <v>0</v>
      </c>
    </row>
    <row r="19" spans="2:3" ht="12.75">
      <c r="B19" s="3" t="s">
        <v>33</v>
      </c>
      <c r="C19" s="27">
        <v>0</v>
      </c>
    </row>
    <row r="20" ht="12.75">
      <c r="B20" s="4" t="s">
        <v>34</v>
      </c>
    </row>
    <row r="21" spans="2:3" ht="12.75">
      <c r="B21" s="3" t="s">
        <v>35</v>
      </c>
      <c r="C21" s="1">
        <v>0</v>
      </c>
    </row>
    <row r="22" spans="2:3" ht="12.75">
      <c r="B22" s="3" t="s">
        <v>37</v>
      </c>
      <c r="C22" s="27">
        <v>0</v>
      </c>
    </row>
    <row r="23" spans="2:3" ht="12.75">
      <c r="B23" s="3" t="s">
        <v>110</v>
      </c>
      <c r="C23" s="28">
        <f>C21*C22</f>
        <v>0</v>
      </c>
    </row>
    <row r="24" spans="2:3" ht="12.75">
      <c r="B24" s="3" t="s">
        <v>277</v>
      </c>
      <c r="C24" s="1">
        <v>0</v>
      </c>
    </row>
    <row r="25" spans="2:3" ht="12.75">
      <c r="B25" s="3" t="s">
        <v>36</v>
      </c>
      <c r="C25" s="27">
        <v>0</v>
      </c>
    </row>
    <row r="26" spans="2:3" ht="12.75">
      <c r="B26" s="3" t="s">
        <v>111</v>
      </c>
      <c r="C26" s="28">
        <f>C24*C25</f>
        <v>0</v>
      </c>
    </row>
    <row r="27" spans="2:6" ht="12.75">
      <c r="B27" s="4" t="s">
        <v>38</v>
      </c>
      <c r="C27" s="26" t="s">
        <v>42</v>
      </c>
      <c r="D27" s="26" t="s">
        <v>107</v>
      </c>
      <c r="E27" s="26" t="s">
        <v>108</v>
      </c>
      <c r="F27" s="26" t="s">
        <v>109</v>
      </c>
    </row>
    <row r="28" spans="2:6" ht="12.75">
      <c r="B28" s="24" t="s">
        <v>39</v>
      </c>
      <c r="C28" s="30"/>
      <c r="D28" s="31"/>
      <c r="E28" s="31"/>
      <c r="F28" s="30">
        <f>C28*D28*E28</f>
        <v>0</v>
      </c>
    </row>
    <row r="29" spans="2:6" ht="12.75">
      <c r="B29" s="24" t="s">
        <v>40</v>
      </c>
      <c r="C29" s="30"/>
      <c r="D29" s="31"/>
      <c r="E29" s="31"/>
      <c r="F29" s="30">
        <f>C29*D29*E29</f>
        <v>0</v>
      </c>
    </row>
    <row r="30" spans="2:6" ht="12.75">
      <c r="B30" s="24" t="s">
        <v>41</v>
      </c>
      <c r="C30" s="30"/>
      <c r="D30" s="31"/>
      <c r="E30" s="31"/>
      <c r="F30" s="30">
        <f>C30*D30*E30</f>
        <v>0</v>
      </c>
    </row>
    <row r="32" spans="2:4" ht="18">
      <c r="B32" s="20" t="s">
        <v>106</v>
      </c>
      <c r="C32" s="23"/>
      <c r="D32" s="29">
        <f>C15+C17+C18+C19+C23+C26+F28+F29+F30</f>
        <v>0</v>
      </c>
    </row>
  </sheetData>
  <sheetProtection/>
  <dataValidations count="1">
    <dataValidation type="list" showInputMessage="1" showErrorMessage="1" sqref="B4">
      <formula1>Custo_implante</formula1>
    </dataValidation>
  </dataValidations>
  <printOptions/>
  <pageMargins left="0.787401575" right="0.787401575" top="0.984251969" bottom="0.984251969" header="0.492125985" footer="0.49212598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B2:J31"/>
  <sheetViews>
    <sheetView zoomScalePageLayoutView="0" workbookViewId="0" topLeftCell="A7">
      <selection activeCell="D28" sqref="D28"/>
    </sheetView>
  </sheetViews>
  <sheetFormatPr defaultColWidth="9.140625" defaultRowHeight="12.75"/>
  <cols>
    <col min="1" max="1" width="9.140625" style="3" customWidth="1"/>
    <col min="2" max="2" width="52.421875" style="3" customWidth="1"/>
    <col min="3" max="3" width="19.140625" style="3" customWidth="1"/>
    <col min="4" max="4" width="16.421875" style="3" customWidth="1"/>
    <col min="5" max="5" width="16.7109375" style="3" customWidth="1"/>
    <col min="6" max="7" width="15.7109375" style="3" customWidth="1"/>
    <col min="8" max="8" width="14.28125" style="3" customWidth="1"/>
    <col min="9" max="16384" width="9.140625" style="3" customWidth="1"/>
  </cols>
  <sheetData>
    <row r="2" ht="15.75">
      <c r="J2" s="59"/>
    </row>
    <row r="3" ht="12.75">
      <c r="B3" s="4" t="s">
        <v>43</v>
      </c>
    </row>
    <row r="6" spans="2:8" ht="12.75">
      <c r="B6" s="60" t="s">
        <v>44</v>
      </c>
      <c r="C6" s="61" t="s">
        <v>123</v>
      </c>
      <c r="D6" s="61" t="s">
        <v>47</v>
      </c>
      <c r="E6" s="61" t="s">
        <v>48</v>
      </c>
      <c r="F6" s="61" t="s">
        <v>130</v>
      </c>
      <c r="G6" s="61" t="s">
        <v>119</v>
      </c>
      <c r="H6" s="61" t="s">
        <v>120</v>
      </c>
    </row>
    <row r="7" spans="2:8" ht="15">
      <c r="B7" s="24" t="s">
        <v>39</v>
      </c>
      <c r="C7" s="31"/>
      <c r="D7" s="31"/>
      <c r="E7" s="31"/>
      <c r="F7" s="62">
        <f>E7*30</f>
        <v>0</v>
      </c>
      <c r="G7" s="62">
        <f>F7*D7</f>
        <v>0</v>
      </c>
      <c r="H7" s="62">
        <f>G7*12</f>
        <v>0</v>
      </c>
    </row>
    <row r="8" spans="2:8" ht="15">
      <c r="B8" s="24" t="s">
        <v>40</v>
      </c>
      <c r="C8" s="31"/>
      <c r="D8" s="31"/>
      <c r="E8" s="31"/>
      <c r="F8" s="62">
        <f>E8*30</f>
        <v>0</v>
      </c>
      <c r="G8" s="62">
        <f>F8*D8</f>
        <v>0</v>
      </c>
      <c r="H8" s="62">
        <f>G8*12</f>
        <v>0</v>
      </c>
    </row>
    <row r="9" spans="2:8" ht="15">
      <c r="B9" s="24" t="s">
        <v>41</v>
      </c>
      <c r="C9" s="31"/>
      <c r="D9" s="31"/>
      <c r="E9" s="31"/>
      <c r="F9" s="62">
        <f>E9*30</f>
        <v>0</v>
      </c>
      <c r="G9" s="62">
        <f>F9*D9</f>
        <v>0</v>
      </c>
      <c r="H9" s="62">
        <f>G9*12</f>
        <v>0</v>
      </c>
    </row>
    <row r="10" spans="2:8" ht="15">
      <c r="B10" s="24" t="s">
        <v>45</v>
      </c>
      <c r="C10" s="31"/>
      <c r="D10" s="31"/>
      <c r="E10" s="31"/>
      <c r="F10" s="62">
        <f>E10*30</f>
        <v>0</v>
      </c>
      <c r="G10" s="62">
        <f>F10*D10</f>
        <v>0</v>
      </c>
      <c r="H10" s="62">
        <f>G10*12</f>
        <v>0</v>
      </c>
    </row>
    <row r="11" spans="3:8" ht="12.75">
      <c r="C11" s="5"/>
      <c r="D11" s="5"/>
      <c r="E11" s="5"/>
      <c r="F11" s="5"/>
      <c r="G11" s="5"/>
      <c r="H11" s="5"/>
    </row>
    <row r="12" spans="2:7" ht="12.75">
      <c r="B12" s="60" t="s">
        <v>46</v>
      </c>
      <c r="C12" s="61" t="s">
        <v>123</v>
      </c>
      <c r="D12" s="61" t="s">
        <v>47</v>
      </c>
      <c r="E12" s="61" t="s">
        <v>121</v>
      </c>
      <c r="F12" s="61" t="s">
        <v>120</v>
      </c>
      <c r="G12" s="5"/>
    </row>
    <row r="13" spans="2:7" ht="15">
      <c r="B13" s="24" t="s">
        <v>266</v>
      </c>
      <c r="C13" s="31"/>
      <c r="D13" s="31"/>
      <c r="E13" s="36"/>
      <c r="F13" s="62">
        <f>E13*D13</f>
        <v>0</v>
      </c>
      <c r="G13" s="5"/>
    </row>
    <row r="14" spans="2:7" ht="15">
      <c r="B14" s="24" t="s">
        <v>126</v>
      </c>
      <c r="C14" s="31"/>
      <c r="D14" s="31"/>
      <c r="E14" s="36"/>
      <c r="F14" s="62">
        <f>E14*D14</f>
        <v>0</v>
      </c>
      <c r="G14" s="5"/>
    </row>
    <row r="15" spans="2:7" ht="15">
      <c r="B15" s="24" t="s">
        <v>127</v>
      </c>
      <c r="C15" s="31"/>
      <c r="D15" s="31"/>
      <c r="E15" s="36"/>
      <c r="F15" s="62">
        <f>E15*D15</f>
        <v>0</v>
      </c>
      <c r="G15" s="5"/>
    </row>
    <row r="16" spans="2:7" ht="15">
      <c r="B16" s="24" t="s">
        <v>128</v>
      </c>
      <c r="C16" s="31"/>
      <c r="D16" s="31"/>
      <c r="E16" s="36"/>
      <c r="F16" s="62">
        <f>E16*D16</f>
        <v>0</v>
      </c>
      <c r="G16" s="5"/>
    </row>
    <row r="17" spans="2:7" ht="15">
      <c r="B17" s="24" t="s">
        <v>129</v>
      </c>
      <c r="C17" s="31"/>
      <c r="D17" s="31"/>
      <c r="E17" s="36"/>
      <c r="F17" s="62">
        <f>E17*D17</f>
        <v>0</v>
      </c>
      <c r="G17" s="5"/>
    </row>
    <row r="18" spans="3:8" ht="12.75">
      <c r="C18" s="5"/>
      <c r="D18" s="5"/>
      <c r="E18" s="5"/>
      <c r="F18" s="5"/>
      <c r="G18" s="5"/>
      <c r="H18" s="5"/>
    </row>
    <row r="19" spans="2:6" ht="12.75">
      <c r="B19" s="60" t="s">
        <v>49</v>
      </c>
      <c r="C19" s="61" t="s">
        <v>123</v>
      </c>
      <c r="D19" s="61" t="s">
        <v>47</v>
      </c>
      <c r="E19" s="61" t="s">
        <v>124</v>
      </c>
      <c r="F19" s="61" t="s">
        <v>120</v>
      </c>
    </row>
    <row r="20" spans="2:6" ht="15">
      <c r="B20" s="24" t="s">
        <v>122</v>
      </c>
      <c r="C20" s="31"/>
      <c r="D20" s="31"/>
      <c r="E20" s="36"/>
      <c r="F20" s="62">
        <f>E20*D20</f>
        <v>0</v>
      </c>
    </row>
    <row r="21" spans="2:6" ht="15">
      <c r="B21" s="24" t="s">
        <v>50</v>
      </c>
      <c r="C21" s="31"/>
      <c r="D21" s="31"/>
      <c r="E21" s="36"/>
      <c r="F21" s="62">
        <f>E21*D21</f>
        <v>0</v>
      </c>
    </row>
    <row r="22" spans="2:6" ht="15">
      <c r="B22" s="24" t="s">
        <v>51</v>
      </c>
      <c r="C22" s="31"/>
      <c r="D22" s="31"/>
      <c r="E22" s="36"/>
      <c r="F22" s="62">
        <f>E22*D22</f>
        <v>0</v>
      </c>
    </row>
    <row r="23" spans="2:6" ht="15">
      <c r="B23" s="24" t="s">
        <v>52</v>
      </c>
      <c r="C23" s="31"/>
      <c r="D23" s="31"/>
      <c r="E23" s="36"/>
      <c r="F23" s="62">
        <f>E23*D23</f>
        <v>0</v>
      </c>
    </row>
    <row r="24" spans="2:6" ht="15">
      <c r="B24" s="24" t="s">
        <v>125</v>
      </c>
      <c r="C24" s="31"/>
      <c r="D24" s="31"/>
      <c r="E24" s="36"/>
      <c r="F24" s="62">
        <f>E24*D24</f>
        <v>0</v>
      </c>
    </row>
    <row r="26" spans="2:3" ht="12.75">
      <c r="B26" s="37" t="s">
        <v>278</v>
      </c>
      <c r="C26" s="38"/>
    </row>
    <row r="27" spans="2:3" ht="12.75">
      <c r="B27" s="41" t="s">
        <v>131</v>
      </c>
      <c r="C27" s="63">
        <f>H7+H8+H9+H10</f>
        <v>0</v>
      </c>
    </row>
    <row r="28" spans="2:3" ht="12.75">
      <c r="B28" s="41" t="s">
        <v>132</v>
      </c>
      <c r="C28" s="63">
        <f>F13+F14+F15+F16+F17</f>
        <v>0</v>
      </c>
    </row>
    <row r="29" spans="2:3" ht="12.75">
      <c r="B29" s="41" t="s">
        <v>133</v>
      </c>
      <c r="C29" s="63">
        <f>F20+F21+F22+F23+F24</f>
        <v>0</v>
      </c>
    </row>
    <row r="30" spans="2:3" ht="15.75">
      <c r="B30" s="41"/>
      <c r="C30" s="45"/>
    </row>
    <row r="31" spans="2:3" ht="15.75">
      <c r="B31" s="42" t="s">
        <v>134</v>
      </c>
      <c r="C31" s="64">
        <f>SUM(C27:C29)</f>
        <v>0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B2:J104"/>
  <sheetViews>
    <sheetView zoomScalePageLayoutView="0" workbookViewId="0" topLeftCell="A64">
      <selection activeCell="H32" sqref="H32"/>
    </sheetView>
  </sheetViews>
  <sheetFormatPr defaultColWidth="9.140625" defaultRowHeight="12.75"/>
  <cols>
    <col min="1" max="1" width="0.42578125" style="3" customWidth="1"/>
    <col min="2" max="2" width="69.8515625" style="3" customWidth="1"/>
    <col min="3" max="3" width="38.28125" style="5" customWidth="1"/>
    <col min="4" max="4" width="4.00390625" style="3" customWidth="1"/>
    <col min="5" max="7" width="9.140625" style="3" customWidth="1"/>
    <col min="8" max="8" width="8.7109375" style="3" customWidth="1"/>
    <col min="9" max="9" width="29.00390625" style="3" customWidth="1"/>
    <col min="10" max="10" width="13.28125" style="3" bestFit="1" customWidth="1"/>
    <col min="11" max="16384" width="9.140625" style="3" customWidth="1"/>
  </cols>
  <sheetData>
    <row r="2" ht="12.75">
      <c r="B2" s="4" t="s">
        <v>55</v>
      </c>
    </row>
    <row r="4" spans="2:10" ht="12.75">
      <c r="B4" s="3" t="s">
        <v>169</v>
      </c>
      <c r="C4" s="58" t="s">
        <v>150</v>
      </c>
      <c r="E4" s="65" t="s">
        <v>171</v>
      </c>
      <c r="F4" s="66"/>
      <c r="G4" s="66"/>
      <c r="H4" s="66"/>
      <c r="I4" s="66"/>
      <c r="J4" s="67">
        <f>IF(C4=Programação!A18,'7-Possíveis Economias'!I21,0)</f>
        <v>0</v>
      </c>
    </row>
    <row r="6" ht="12.75">
      <c r="B6" s="4" t="s">
        <v>56</v>
      </c>
    </row>
    <row r="7" ht="12.75">
      <c r="B7" s="3" t="s">
        <v>263</v>
      </c>
    </row>
    <row r="8" ht="12.75">
      <c r="B8" s="3" t="s">
        <v>57</v>
      </c>
    </row>
    <row r="9" ht="12.75">
      <c r="B9" s="3" t="s">
        <v>58</v>
      </c>
    </row>
    <row r="11" ht="12.75">
      <c r="B11" s="3" t="s">
        <v>279</v>
      </c>
    </row>
    <row r="12" ht="12.75">
      <c r="B12" s="3" t="s">
        <v>135</v>
      </c>
    </row>
    <row r="13" ht="12.75">
      <c r="B13" s="3" t="s">
        <v>59</v>
      </c>
    </row>
    <row r="15" spans="2:9" ht="12.75">
      <c r="B15" s="37" t="s">
        <v>140</v>
      </c>
      <c r="C15" s="48"/>
      <c r="E15" s="37" t="s">
        <v>179</v>
      </c>
      <c r="F15" s="43"/>
      <c r="G15" s="43"/>
      <c r="H15" s="43"/>
      <c r="I15" s="38"/>
    </row>
    <row r="16" spans="2:9" ht="12.75">
      <c r="B16" s="39" t="s">
        <v>280</v>
      </c>
      <c r="C16" s="49"/>
      <c r="E16" s="41" t="s">
        <v>136</v>
      </c>
      <c r="F16" s="44"/>
      <c r="G16" s="44"/>
      <c r="H16" s="44"/>
      <c r="I16" s="51" t="e">
        <f>C30*C34</f>
        <v>#DIV/0!</v>
      </c>
    </row>
    <row r="17" spans="2:9" ht="12.75">
      <c r="B17" s="41"/>
      <c r="C17" s="50"/>
      <c r="E17" s="41" t="s">
        <v>137</v>
      </c>
      <c r="F17" s="44"/>
      <c r="G17" s="44"/>
      <c r="H17" s="44"/>
      <c r="I17" s="51" t="e">
        <f>C53*C57</f>
        <v>#DIV/0!</v>
      </c>
    </row>
    <row r="18" spans="2:9" ht="12.75">
      <c r="B18" s="41" t="s">
        <v>53</v>
      </c>
      <c r="C18" s="49"/>
      <c r="E18" s="41" t="s">
        <v>138</v>
      </c>
      <c r="F18" s="44"/>
      <c r="G18" s="44"/>
      <c r="H18" s="44"/>
      <c r="I18" s="51" t="e">
        <f>C76*C80</f>
        <v>#DIV/0!</v>
      </c>
    </row>
    <row r="19" spans="2:9" ht="12.75">
      <c r="B19" s="41" t="s">
        <v>60</v>
      </c>
      <c r="C19" s="49"/>
      <c r="E19" s="41" t="s">
        <v>139</v>
      </c>
      <c r="F19" s="44"/>
      <c r="G19" s="44"/>
      <c r="H19" s="44"/>
      <c r="I19" s="51" t="e">
        <f>C99*C103</f>
        <v>#DIV/0!</v>
      </c>
    </row>
    <row r="20" spans="2:9" ht="12.75">
      <c r="B20" s="41" t="s">
        <v>281</v>
      </c>
      <c r="C20" s="149" t="e">
        <f>(C19/C18)*100</f>
        <v>#DIV/0!</v>
      </c>
      <c r="E20" s="41"/>
      <c r="F20" s="44"/>
      <c r="G20" s="44"/>
      <c r="H20" s="44"/>
      <c r="I20" s="50"/>
    </row>
    <row r="21" spans="2:9" ht="15.75">
      <c r="B21" s="41"/>
      <c r="C21" s="50"/>
      <c r="E21" s="41" t="s">
        <v>141</v>
      </c>
      <c r="F21" s="44"/>
      <c r="G21" s="44"/>
      <c r="H21" s="44"/>
      <c r="I21" s="131" t="e">
        <f>SUM(I16:I20)</f>
        <v>#DIV/0!</v>
      </c>
    </row>
    <row r="22" spans="2:9" ht="12.75">
      <c r="B22" s="41" t="s">
        <v>54</v>
      </c>
      <c r="C22" s="49"/>
      <c r="E22" s="42" t="s">
        <v>142</v>
      </c>
      <c r="F22" s="46"/>
      <c r="G22" s="46"/>
      <c r="H22" s="46"/>
      <c r="I22" s="47"/>
    </row>
    <row r="23" spans="2:3" ht="12.75">
      <c r="B23" s="41" t="s">
        <v>61</v>
      </c>
      <c r="C23" s="49"/>
    </row>
    <row r="24" spans="2:3" ht="12.75">
      <c r="B24" s="41" t="s">
        <v>282</v>
      </c>
      <c r="C24" s="149" t="e">
        <f>(C23/C22)*100</f>
        <v>#DIV/0!</v>
      </c>
    </row>
    <row r="25" spans="2:3" ht="12.75">
      <c r="B25" s="41"/>
      <c r="C25" s="50"/>
    </row>
    <row r="26" spans="2:3" ht="12.75">
      <c r="B26" s="41" t="s">
        <v>62</v>
      </c>
      <c r="C26" s="49"/>
    </row>
    <row r="27" spans="2:3" ht="12.75">
      <c r="B27" s="41"/>
      <c r="C27" s="50"/>
    </row>
    <row r="28" spans="2:3" ht="12.75">
      <c r="B28" s="41" t="s">
        <v>67</v>
      </c>
      <c r="C28" s="51" t="e">
        <f>C20-C24</f>
        <v>#DIV/0!</v>
      </c>
    </row>
    <row r="29" spans="2:3" ht="12.75">
      <c r="B29" s="41"/>
      <c r="C29" s="50"/>
    </row>
    <row r="30" spans="2:3" ht="12.75">
      <c r="B30" s="41" t="s">
        <v>283</v>
      </c>
      <c r="C30" s="51" t="e">
        <f>C28/(C26/12)</f>
        <v>#DIV/0!</v>
      </c>
    </row>
    <row r="31" spans="2:3" ht="12.75">
      <c r="B31" s="41" t="s">
        <v>64</v>
      </c>
      <c r="C31" s="51" t="e">
        <f>C28/C26</f>
        <v>#DIV/0!</v>
      </c>
    </row>
    <row r="32" spans="2:3" ht="12.75">
      <c r="B32" s="41"/>
      <c r="C32" s="51"/>
    </row>
    <row r="33" spans="2:3" ht="12.75">
      <c r="B33" s="41"/>
      <c r="C33" s="50"/>
    </row>
    <row r="34" spans="2:3" ht="12.75">
      <c r="B34" s="41" t="s">
        <v>65</v>
      </c>
      <c r="C34" s="49">
        <v>2000</v>
      </c>
    </row>
    <row r="35" spans="2:3" ht="12.75">
      <c r="B35" s="42" t="s">
        <v>264</v>
      </c>
      <c r="C35" s="150" t="e">
        <f>C34*C28</f>
        <v>#DIV/0!</v>
      </c>
    </row>
    <row r="38" spans="2:3" ht="12.75">
      <c r="B38" s="37" t="s">
        <v>143</v>
      </c>
      <c r="C38" s="48"/>
    </row>
    <row r="39" spans="2:3" ht="12.75">
      <c r="B39" s="39" t="s">
        <v>280</v>
      </c>
      <c r="C39" s="49"/>
    </row>
    <row r="40" spans="2:3" ht="12.75">
      <c r="B40" s="41"/>
      <c r="C40" s="50"/>
    </row>
    <row r="41" spans="2:3" ht="12.75">
      <c r="B41" s="41" t="s">
        <v>53</v>
      </c>
      <c r="C41" s="49"/>
    </row>
    <row r="42" spans="2:3" ht="12.75">
      <c r="B42" s="41" t="s">
        <v>60</v>
      </c>
      <c r="C42" s="49"/>
    </row>
    <row r="43" spans="2:3" ht="12.75">
      <c r="B43" s="41" t="s">
        <v>281</v>
      </c>
      <c r="C43" s="149" t="e">
        <f>(C42/C41)*100</f>
        <v>#DIV/0!</v>
      </c>
    </row>
    <row r="44" spans="2:3" ht="12.75">
      <c r="B44" s="41"/>
      <c r="C44" s="50"/>
    </row>
    <row r="45" spans="2:3" ht="12.75">
      <c r="B45" s="41" t="s">
        <v>54</v>
      </c>
      <c r="C45" s="49"/>
    </row>
    <row r="46" spans="2:3" ht="12.75">
      <c r="B46" s="41" t="s">
        <v>61</v>
      </c>
      <c r="C46" s="49"/>
    </row>
    <row r="47" spans="2:3" ht="12.75">
      <c r="B47" s="41" t="s">
        <v>282</v>
      </c>
      <c r="C47" s="149" t="e">
        <f>(C46/C45)*100</f>
        <v>#DIV/0!</v>
      </c>
    </row>
    <row r="48" spans="2:3" ht="12.75">
      <c r="B48" s="41"/>
      <c r="C48" s="50"/>
    </row>
    <row r="49" spans="2:3" ht="12.75">
      <c r="B49" s="41" t="s">
        <v>62</v>
      </c>
      <c r="C49" s="49"/>
    </row>
    <row r="50" spans="2:3" ht="12.75">
      <c r="B50" s="41"/>
      <c r="C50" s="50"/>
    </row>
    <row r="51" spans="2:3" ht="12.75">
      <c r="B51" s="41" t="s">
        <v>67</v>
      </c>
      <c r="C51" s="51" t="e">
        <f>C43-C47</f>
        <v>#DIV/0!</v>
      </c>
    </row>
    <row r="52" spans="2:3" ht="12.75">
      <c r="B52" s="41"/>
      <c r="C52" s="50"/>
    </row>
    <row r="53" spans="2:3" ht="12.75">
      <c r="B53" s="41" t="s">
        <v>63</v>
      </c>
      <c r="C53" s="51" t="e">
        <f>C51/(C49/12)</f>
        <v>#DIV/0!</v>
      </c>
    </row>
    <row r="54" spans="2:3" ht="12.75">
      <c r="B54" s="41" t="s">
        <v>64</v>
      </c>
      <c r="C54" s="51" t="e">
        <f>C51/C49</f>
        <v>#DIV/0!</v>
      </c>
    </row>
    <row r="55" spans="2:3" ht="12.75">
      <c r="B55" s="41"/>
      <c r="C55" s="51"/>
    </row>
    <row r="56" spans="2:3" ht="12.75">
      <c r="B56" s="41"/>
      <c r="C56" s="50"/>
    </row>
    <row r="57" spans="2:3" ht="12.75">
      <c r="B57" s="41" t="s">
        <v>65</v>
      </c>
      <c r="C57" s="49"/>
    </row>
    <row r="58" spans="2:3" ht="12.75">
      <c r="B58" s="42" t="s">
        <v>66</v>
      </c>
      <c r="C58" s="150" t="e">
        <f>C57*C51</f>
        <v>#DIV/0!</v>
      </c>
    </row>
    <row r="61" spans="2:3" ht="12.75">
      <c r="B61" s="37" t="s">
        <v>144</v>
      </c>
      <c r="C61" s="48"/>
    </row>
    <row r="62" spans="2:3" ht="12.75">
      <c r="B62" s="39" t="s">
        <v>280</v>
      </c>
      <c r="C62" s="49"/>
    </row>
    <row r="63" spans="2:3" ht="12.75">
      <c r="B63" s="41"/>
      <c r="C63" s="50"/>
    </row>
    <row r="64" spans="2:3" ht="12.75">
      <c r="B64" s="41" t="s">
        <v>53</v>
      </c>
      <c r="C64" s="49"/>
    </row>
    <row r="65" spans="2:3" ht="12.75">
      <c r="B65" s="41" t="s">
        <v>60</v>
      </c>
      <c r="C65" s="49"/>
    </row>
    <row r="66" spans="2:3" ht="12.75">
      <c r="B66" s="41" t="s">
        <v>281</v>
      </c>
      <c r="C66" s="149" t="e">
        <f>(C65/C64)*100</f>
        <v>#DIV/0!</v>
      </c>
    </row>
    <row r="67" spans="2:3" ht="12.75">
      <c r="B67" s="41"/>
      <c r="C67" s="50"/>
    </row>
    <row r="68" spans="2:3" ht="12.75">
      <c r="B68" s="41" t="s">
        <v>54</v>
      </c>
      <c r="C68" s="49"/>
    </row>
    <row r="69" spans="2:3" ht="12.75">
      <c r="B69" s="41" t="s">
        <v>61</v>
      </c>
      <c r="C69" s="49"/>
    </row>
    <row r="70" spans="2:3" ht="12.75">
      <c r="B70" s="41" t="s">
        <v>282</v>
      </c>
      <c r="C70" s="149" t="e">
        <f>(C69/C68)*100</f>
        <v>#DIV/0!</v>
      </c>
    </row>
    <row r="71" spans="2:3" ht="12.75">
      <c r="B71" s="41"/>
      <c r="C71" s="50"/>
    </row>
    <row r="72" spans="2:3" ht="12.75">
      <c r="B72" s="41" t="s">
        <v>62</v>
      </c>
      <c r="C72" s="49"/>
    </row>
    <row r="73" spans="2:3" ht="12.75">
      <c r="B73" s="41"/>
      <c r="C73" s="50"/>
    </row>
    <row r="74" spans="2:3" ht="12.75">
      <c r="B74" s="41" t="s">
        <v>67</v>
      </c>
      <c r="C74" s="51" t="e">
        <f>C66-C70</f>
        <v>#DIV/0!</v>
      </c>
    </row>
    <row r="75" spans="2:3" ht="12.75">
      <c r="B75" s="41"/>
      <c r="C75" s="50"/>
    </row>
    <row r="76" spans="2:3" ht="12.75">
      <c r="B76" s="41" t="s">
        <v>63</v>
      </c>
      <c r="C76" s="51" t="e">
        <f>C74/(C72/12)</f>
        <v>#DIV/0!</v>
      </c>
    </row>
    <row r="77" spans="2:3" ht="12.75">
      <c r="B77" s="41" t="s">
        <v>64</v>
      </c>
      <c r="C77" s="51" t="e">
        <f>C74/C72</f>
        <v>#DIV/0!</v>
      </c>
    </row>
    <row r="78" spans="2:3" ht="12.75">
      <c r="B78" s="41"/>
      <c r="C78" s="51"/>
    </row>
    <row r="79" spans="2:3" ht="12.75">
      <c r="B79" s="41"/>
      <c r="C79" s="50"/>
    </row>
    <row r="80" spans="2:3" ht="12.75">
      <c r="B80" s="41" t="s">
        <v>65</v>
      </c>
      <c r="C80" s="49"/>
    </row>
    <row r="81" spans="2:3" ht="12.75">
      <c r="B81" s="42" t="s">
        <v>66</v>
      </c>
      <c r="C81" s="150" t="e">
        <f>C80*C74</f>
        <v>#DIV/0!</v>
      </c>
    </row>
    <row r="84" spans="2:3" ht="12.75">
      <c r="B84" s="37" t="s">
        <v>145</v>
      </c>
      <c r="C84" s="48"/>
    </row>
    <row r="85" spans="2:3" ht="12.75">
      <c r="B85" s="39" t="s">
        <v>280</v>
      </c>
      <c r="C85" s="49"/>
    </row>
    <row r="86" spans="2:3" ht="12.75">
      <c r="B86" s="41"/>
      <c r="C86" s="50"/>
    </row>
    <row r="87" spans="2:3" ht="12.75">
      <c r="B87" s="41" t="s">
        <v>53</v>
      </c>
      <c r="C87" s="49"/>
    </row>
    <row r="88" spans="2:3" ht="12.75">
      <c r="B88" s="41" t="s">
        <v>60</v>
      </c>
      <c r="C88" s="49"/>
    </row>
    <row r="89" spans="2:3" ht="12.75">
      <c r="B89" s="41" t="s">
        <v>281</v>
      </c>
      <c r="C89" s="149" t="e">
        <f>(C88/C87)*100</f>
        <v>#DIV/0!</v>
      </c>
    </row>
    <row r="90" spans="2:3" ht="12.75">
      <c r="B90" s="41"/>
      <c r="C90" s="50"/>
    </row>
    <row r="91" spans="2:3" ht="12.75">
      <c r="B91" s="41" t="s">
        <v>54</v>
      </c>
      <c r="C91" s="49"/>
    </row>
    <row r="92" spans="2:3" ht="12.75">
      <c r="B92" s="41" t="s">
        <v>61</v>
      </c>
      <c r="C92" s="49"/>
    </row>
    <row r="93" spans="2:3" ht="12.75">
      <c r="B93" s="41" t="s">
        <v>282</v>
      </c>
      <c r="C93" s="149" t="e">
        <f>(C92/C91)*100</f>
        <v>#DIV/0!</v>
      </c>
    </row>
    <row r="94" spans="2:3" ht="12.75">
      <c r="B94" s="41"/>
      <c r="C94" s="50"/>
    </row>
    <row r="95" spans="2:3" ht="12.75">
      <c r="B95" s="41" t="s">
        <v>62</v>
      </c>
      <c r="C95" s="49"/>
    </row>
    <row r="96" spans="2:3" ht="12.75">
      <c r="B96" s="41"/>
      <c r="C96" s="50"/>
    </row>
    <row r="97" spans="2:3" ht="12.75">
      <c r="B97" s="41" t="s">
        <v>67</v>
      </c>
      <c r="C97" s="51" t="e">
        <f>C89-C93</f>
        <v>#DIV/0!</v>
      </c>
    </row>
    <row r="98" spans="2:3" ht="12.75">
      <c r="B98" s="41"/>
      <c r="C98" s="50"/>
    </row>
    <row r="99" spans="2:3" ht="12.75">
      <c r="B99" s="41" t="s">
        <v>63</v>
      </c>
      <c r="C99" s="51" t="e">
        <f>C97/(C95/12)</f>
        <v>#DIV/0!</v>
      </c>
    </row>
    <row r="100" spans="2:3" ht="12.75">
      <c r="B100" s="41" t="s">
        <v>64</v>
      </c>
      <c r="C100" s="51" t="e">
        <f>C97/C95</f>
        <v>#DIV/0!</v>
      </c>
    </row>
    <row r="101" spans="2:3" ht="12.75">
      <c r="B101" s="41"/>
      <c r="C101" s="51"/>
    </row>
    <row r="102" spans="2:3" ht="12.75">
      <c r="B102" s="41"/>
      <c r="C102" s="50"/>
    </row>
    <row r="103" spans="2:3" ht="12.75">
      <c r="B103" s="41" t="s">
        <v>65</v>
      </c>
      <c r="C103" s="49"/>
    </row>
    <row r="104" spans="2:3" ht="12.75">
      <c r="B104" s="42" t="s">
        <v>66</v>
      </c>
      <c r="C104" s="150" t="e">
        <f>C103*C97</f>
        <v>#DIV/0!</v>
      </c>
    </row>
  </sheetData>
  <sheetProtection/>
  <dataValidations count="1">
    <dataValidation type="list" allowBlank="1" showInputMessage="1" showErrorMessage="1" sqref="C4">
      <formula1>Menu6</formula1>
    </dataValidation>
  </dataValidations>
  <printOptions/>
  <pageMargins left="0.787401575" right="0.787401575" top="0.984251969" bottom="0.984251969" header="0.492125985" footer="0.49212598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B2:K18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2.421875" style="3" customWidth="1"/>
    <col min="2" max="2" width="18.421875" style="3" customWidth="1"/>
    <col min="3" max="6" width="9.140625" style="3" customWidth="1"/>
    <col min="7" max="7" width="5.8515625" style="3" customWidth="1"/>
    <col min="8" max="9" width="9.140625" style="3" customWidth="1"/>
    <col min="10" max="10" width="20.00390625" style="3" customWidth="1"/>
    <col min="11" max="11" width="12.8515625" style="3" customWidth="1"/>
    <col min="12" max="16384" width="9.140625" style="3" customWidth="1"/>
  </cols>
  <sheetData>
    <row r="2" ht="12.75">
      <c r="B2" s="4" t="s">
        <v>74</v>
      </c>
    </row>
    <row r="3" ht="12.75">
      <c r="B3" s="4" t="s">
        <v>75</v>
      </c>
    </row>
    <row r="6" spans="2:10" ht="12.75">
      <c r="B6" s="4" t="s">
        <v>76</v>
      </c>
      <c r="J6" s="4" t="s">
        <v>178</v>
      </c>
    </row>
    <row r="7" spans="2:11" ht="12.75">
      <c r="B7" s="3" t="s">
        <v>68</v>
      </c>
      <c r="C7" s="52">
        <v>0</v>
      </c>
      <c r="E7" s="3" t="s">
        <v>147</v>
      </c>
      <c r="H7" s="24" t="s">
        <v>150</v>
      </c>
      <c r="J7" s="3" t="s">
        <v>68</v>
      </c>
      <c r="K7" s="54">
        <f>IF($H$7=Programação!$D$6,(C7/2),C7)</f>
        <v>0</v>
      </c>
    </row>
    <row r="8" spans="2:11" ht="12.75">
      <c r="B8" s="3" t="s">
        <v>69</v>
      </c>
      <c r="C8" s="52">
        <v>0</v>
      </c>
      <c r="J8" s="3" t="s">
        <v>69</v>
      </c>
      <c r="K8" s="54">
        <f>IF($H$7=Programação!$D$6,(C8/2),C8)</f>
        <v>0</v>
      </c>
    </row>
    <row r="9" spans="2:11" ht="12.75">
      <c r="B9" s="3" t="s">
        <v>70</v>
      </c>
      <c r="C9" s="52">
        <v>0</v>
      </c>
      <c r="J9" s="3" t="s">
        <v>70</v>
      </c>
      <c r="K9" s="54">
        <f>IF($H$7=Programação!$D$6,(C9/2),C9)</f>
        <v>0</v>
      </c>
    </row>
    <row r="10" spans="2:11" ht="12.75">
      <c r="B10" s="3" t="s">
        <v>71</v>
      </c>
      <c r="C10" s="52">
        <v>0</v>
      </c>
      <c r="J10" s="3" t="s">
        <v>71</v>
      </c>
      <c r="K10" s="54">
        <f>IF($H$7=Programação!$D$6,(C10/2),C10)</f>
        <v>0</v>
      </c>
    </row>
    <row r="11" spans="2:11" ht="12.75">
      <c r="B11" s="3" t="s">
        <v>72</v>
      </c>
      <c r="C11" s="52">
        <v>0</v>
      </c>
      <c r="J11" s="3" t="s">
        <v>72</v>
      </c>
      <c r="K11" s="54">
        <f>IF($H$7=Programação!$D$6,(C11/2),C11)</f>
        <v>0</v>
      </c>
    </row>
    <row r="12" spans="3:11" ht="12.75">
      <c r="C12" s="53"/>
      <c r="K12" s="55"/>
    </row>
    <row r="13" spans="2:11" ht="12.75">
      <c r="B13" s="4" t="s">
        <v>73</v>
      </c>
      <c r="C13" s="52">
        <v>0</v>
      </c>
      <c r="J13" s="4" t="s">
        <v>73</v>
      </c>
      <c r="K13" s="54">
        <f>IF($H$7=Programação!$D$6,(C13/2),C13)</f>
        <v>0</v>
      </c>
    </row>
    <row r="16" ht="12.75">
      <c r="B16" s="3" t="s">
        <v>284</v>
      </c>
    </row>
    <row r="18" ht="12.75">
      <c r="B18" s="4" t="s">
        <v>146</v>
      </c>
    </row>
  </sheetData>
  <sheetProtection/>
  <dataValidations count="1">
    <dataValidation type="list" allowBlank="1" showInputMessage="1" showErrorMessage="1" sqref="H7">
      <formula1>Menu3</formula1>
    </dataValidation>
  </dataValidations>
  <printOptions/>
  <pageMargins left="0.787401575" right="0.787401575" top="0.984251969" bottom="0.984251969" header="0.492125985" footer="0.49212598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HCPA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ALFSILVA</dc:creator>
  <cp:keywords/>
  <dc:description/>
  <cp:lastModifiedBy>José Miguel Vidal Júnior</cp:lastModifiedBy>
  <dcterms:created xsi:type="dcterms:W3CDTF">2010-12-07T16:53:15Z</dcterms:created>
  <dcterms:modified xsi:type="dcterms:W3CDTF">2015-05-19T13:03:29Z</dcterms:modified>
  <cp:category/>
  <cp:version/>
  <cp:contentType/>
  <cp:contentStatus/>
</cp:coreProperties>
</file>