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485" tabRatio="959" activeTab="0"/>
  </bookViews>
  <sheets>
    <sheet name="Apresentação e Índice" sheetId="1" r:id="rId1"/>
    <sheet name="1-Critérios" sheetId="2" r:id="rId2"/>
    <sheet name="2-Cenários" sheetId="3" r:id="rId3"/>
    <sheet name="3-População de Interesse" sheetId="4" r:id="rId4"/>
    <sheet name="4-Restrições - Demandas" sheetId="5" r:id="rId5"/>
    <sheet name="5-Dinâmica da Doença" sheetId="6" r:id="rId6"/>
    <sheet name="6-Custos do Tratamento" sheetId="7" r:id="rId7"/>
    <sheet name="7-Custos Evitados" sheetId="8" r:id="rId8"/>
    <sheet name="8-AIO - Custo por Cenário" sheetId="9" r:id="rId9"/>
    <sheet name="9-Ajustes Econômicos" sheetId="10" r:id="rId10"/>
    <sheet name="10-Cenário de Referência" sheetId="11" r:id="rId11"/>
    <sheet name="11-Cenario 1" sheetId="12" r:id="rId12"/>
    <sheet name="12-Cenario 2" sheetId="13" r:id="rId13"/>
    <sheet name="13-Cenario 3" sheetId="14" r:id="rId14"/>
    <sheet name="14-IO Incremental" sheetId="15" r:id="rId15"/>
    <sheet name="15-Output para Impressão 1" sheetId="16" r:id="rId16"/>
    <sheet name="16-Output para Impressão 2" sheetId="17" r:id="rId17"/>
    <sheet name="Figuras" sheetId="18" r:id="rId18"/>
    <sheet name="Programação" sheetId="19" r:id="rId19"/>
  </sheets>
  <definedNames>
    <definedName name="epirem">'Programação'!$C$4:$C$5</definedName>
    <definedName name="restri">'Programação'!$D$3:$D$6</definedName>
    <definedName name="simnao">'Programação'!$A$4:$A$5</definedName>
  </definedNames>
  <calcPr fullCalcOnLoad="1"/>
</workbook>
</file>

<file path=xl/sharedStrings.xml><?xml version="1.0" encoding="utf-8"?>
<sst xmlns="http://schemas.openxmlformats.org/spreadsheetml/2006/main" count="947" uniqueCount="356">
  <si>
    <t>Aplica-se caso os seguintes critérios sejam preeenchidos:</t>
  </si>
  <si>
    <t>Tipo de doença: crônica</t>
  </si>
  <si>
    <t>Efeito da intervenção sobre a doença: prolonga a vida</t>
  </si>
  <si>
    <t>1. Caracterização da enfermidade e da intervenção em análise</t>
  </si>
  <si>
    <t>Nome da enfermidade para a qual se aplica o presente estudo de impacto orçamentário:</t>
  </si>
  <si>
    <t>Nome do medicamento de uso continuado em análise</t>
  </si>
  <si>
    <t>2. Características da análise</t>
  </si>
  <si>
    <t>Perspectiva da Análise</t>
  </si>
  <si>
    <t>Horizonte temporal da análise (em anos)</t>
  </si>
  <si>
    <t>3. Identificação dos cenários modelados</t>
  </si>
  <si>
    <t>Fundo cinza = campo para inserir dado</t>
  </si>
  <si>
    <t>Fundo azul-claro = dado transportado automaticamente, não editável</t>
  </si>
  <si>
    <t>Digitação do usuário = campos em que o usuário deverá copiar ou digitar informação previamente calculada para expressar sua escolha</t>
  </si>
  <si>
    <t>Output</t>
  </si>
  <si>
    <t>Composição dos cenários em estudo</t>
  </si>
  <si>
    <t>Descrição</t>
  </si>
  <si>
    <t>% Droga A</t>
  </si>
  <si>
    <t>% Droga B</t>
  </si>
  <si>
    <t>% Droga C</t>
  </si>
  <si>
    <t>% Nova droga</t>
  </si>
  <si>
    <t>Total mercado</t>
  </si>
  <si>
    <t>Ano 1</t>
  </si>
  <si>
    <t>Ano 2</t>
  </si>
  <si>
    <t>Ano 3</t>
  </si>
  <si>
    <t>Ano 4</t>
  </si>
  <si>
    <t>Ano 5</t>
  </si>
  <si>
    <t>1) Método Epidemiológico</t>
  </si>
  <si>
    <t>Tamanho total da população de origem</t>
  </si>
  <si>
    <t>indivíduos</t>
  </si>
  <si>
    <t>(informar a fonte do dado mais preciso e atualizado possível que foi usado nessa análise)</t>
  </si>
  <si>
    <t>(informar a faixa etária e a origem do dado)</t>
  </si>
  <si>
    <t>Prevalência da doença (em %)</t>
  </si>
  <si>
    <t>(informar fonte do dado)</t>
  </si>
  <si>
    <t>Obs.: restrições ao uso e subgrupos são considerados posteriormente</t>
  </si>
  <si>
    <t>2) Método do Reembolso ou da Demanda Aferida</t>
  </si>
  <si>
    <t>Na análise atual foi usado o método</t>
  </si>
  <si>
    <t>Digite aqui a estimativa da população pelo método escolhido</t>
  </si>
  <si>
    <t>Restrições ao uso da nova intervenção - definição de subgrupos</t>
  </si>
  <si>
    <t>% afetada</t>
  </si>
  <si>
    <t>Nova população de interesse</t>
  </si>
  <si>
    <t>Tamanho original da população de interesse</t>
  </si>
  <si>
    <t>(sem restrições aplicadas)</t>
  </si>
  <si>
    <t>Restrição 1 (% da população de interesse inicialmente definida)</t>
  </si>
  <si>
    <t>Restrição 2 (% da Restrição 1)</t>
  </si>
  <si>
    <t>Restrição 3 (% da Restrição 2)</t>
  </si>
  <si>
    <t>Restrição 4 (% da Restrição 3)</t>
  </si>
  <si>
    <t>Qual a restrição aplicada?</t>
  </si>
  <si>
    <t>Restrições 1, 2 e 3</t>
  </si>
  <si>
    <t>Digite aqui a nova população de interesse escolhida</t>
  </si>
  <si>
    <t>Demanda induzida (estimar em %)</t>
  </si>
  <si>
    <t>Demanda forçada - falha na restrição (estimar em %)</t>
  </si>
  <si>
    <t>Demanda potencial por judicialização (estimar em %)</t>
  </si>
  <si>
    <t>População de interesse escolhida considerando as demandas adicionais</t>
  </si>
  <si>
    <t>(ou estimativa da mortalidade sem o tratamento em estudo - fonte=ECR)</t>
  </si>
  <si>
    <t>(infomar fonte do dado)</t>
  </si>
  <si>
    <t>Mortalidades anuais ponderadas por cenário</t>
  </si>
  <si>
    <t>% no tratamento novo</t>
  </si>
  <si>
    <t>% em outros tratamentos</t>
  </si>
  <si>
    <t>Taxa de mortalidade ponderada, por cenário</t>
  </si>
  <si>
    <t>Custos envolvidos nos tratamentos</t>
  </si>
  <si>
    <t>Estimativas</t>
  </si>
  <si>
    <t>Tratamentos adjuvantes (custo em $ por unidade)</t>
  </si>
  <si>
    <t>Custo por evento de parefeito grave</t>
  </si>
  <si>
    <t>Custo por evento de parefeito leve</t>
  </si>
  <si>
    <t>Droga B - custos diretos</t>
  </si>
  <si>
    <t>Droga B - custos associados</t>
  </si>
  <si>
    <t>Droga C - custos diretos</t>
  </si>
  <si>
    <t>Droga C - custos associados</t>
  </si>
  <si>
    <t>Droga NOVA - custos associados</t>
  </si>
  <si>
    <t>Custo droga A</t>
  </si>
  <si>
    <t>Custo droga B</t>
  </si>
  <si>
    <t>Custo droga C</t>
  </si>
  <si>
    <t>% Droga nova</t>
  </si>
  <si>
    <t>Custo droga NOVA</t>
  </si>
  <si>
    <t>% total</t>
  </si>
  <si>
    <t>* Custo de drogas: custo efetivo mensal</t>
  </si>
  <si>
    <t>Informe as variáveis econômicas que deseja incluir no modelo</t>
  </si>
  <si>
    <t>Taxa de inflação - ano 1</t>
  </si>
  <si>
    <t>Taxa de inflação - ano 2</t>
  </si>
  <si>
    <t>Taxa de inflação - ano 3</t>
  </si>
  <si>
    <t>Taxa de inflação - ano 4</t>
  </si>
  <si>
    <t>Taxa de inflação - ano 5</t>
  </si>
  <si>
    <t>Taxa de desconto</t>
  </si>
  <si>
    <t>Ajustado para inflação</t>
  </si>
  <si>
    <t>Considerando descontos</t>
  </si>
  <si>
    <t>Ajustado para inflação e descontos</t>
  </si>
  <si>
    <t>Custo ano 1</t>
  </si>
  <si>
    <t>Custo ano 2</t>
  </si>
  <si>
    <t>Custo ano 3</t>
  </si>
  <si>
    <t>Custo ano 4</t>
  </si>
  <si>
    <t>Custo ano 5</t>
  </si>
  <si>
    <t>População considerada</t>
  </si>
  <si>
    <t>Incidência cumulativa</t>
  </si>
  <si>
    <t>Mortalidade anual ponderada para o cenário 1</t>
  </si>
  <si>
    <t>População ano 1</t>
  </si>
  <si>
    <t>População final ano 2</t>
  </si>
  <si>
    <t>População final ano 3</t>
  </si>
  <si>
    <t>Custo cenário 1 por indivíduo, ano *</t>
  </si>
  <si>
    <t>Custo cenário 1 por indivíduo, ano 2</t>
  </si>
  <si>
    <t>Custo cenário 1 por indivíduo, ano 3*</t>
  </si>
  <si>
    <t>Impacto Orçamentário Bruto Cenário 1</t>
  </si>
  <si>
    <t>Impacto Orçamentário Bruto Cenário 1*</t>
  </si>
  <si>
    <t>IO Ajustado para inflação (somente)</t>
  </si>
  <si>
    <t>IO considerando taxa de descontos (somente)</t>
  </si>
  <si>
    <t>IO ajustado para inflação e descontos</t>
  </si>
  <si>
    <t>População final ano 4</t>
  </si>
  <si>
    <t>População final ano 5</t>
  </si>
  <si>
    <t>Custo cenário 1 por indivíduo, ano 4*</t>
  </si>
  <si>
    <t>Custo cenário 1 por indivíduo, ano 5*</t>
  </si>
  <si>
    <t>* Custos anuais por cenário, por indivíduo, por ano, ajustados para a inflação e taxa de descontos</t>
  </si>
  <si>
    <t>Nota: inflação e descontos são considerados de forma cumulativa</t>
  </si>
  <si>
    <t>Diferença %</t>
  </si>
  <si>
    <t>Em 5 anos</t>
  </si>
  <si>
    <t>* Cálculos realizados considerando sempre valores ajustados para inflação e taxa de descontos</t>
  </si>
  <si>
    <t>Sem ajustes</t>
  </si>
  <si>
    <t>Correção de meio de ciclo?</t>
  </si>
  <si>
    <t>Sim</t>
  </si>
  <si>
    <t>Não</t>
  </si>
  <si>
    <r>
      <t xml:space="preserve">Impacto orçamentário em </t>
    </r>
    <r>
      <rPr>
        <b/>
        <sz val="12"/>
        <color indexed="10"/>
        <rFont val="Arial"/>
        <family val="2"/>
      </rPr>
      <t>5</t>
    </r>
    <r>
      <rPr>
        <b/>
        <sz val="12"/>
        <rFont val="Arial"/>
        <family val="2"/>
      </rPr>
      <t xml:space="preserve"> anos</t>
    </r>
  </si>
  <si>
    <t>Taxa de mortalidade dos pacientes que receberam o tratamento em avaliação</t>
  </si>
  <si>
    <t>4. Número de fármacos na composição dos cenários</t>
  </si>
  <si>
    <t>Taxa de mortalidade dos pacientes que receberam o tratamento padrão</t>
  </si>
  <si>
    <t>População média ano 1</t>
  </si>
  <si>
    <t>População média ano 2</t>
  </si>
  <si>
    <t>População média ano 3</t>
  </si>
  <si>
    <t>População média ano 4</t>
  </si>
  <si>
    <t>População média ano 5</t>
  </si>
  <si>
    <t>Cenário de referência</t>
  </si>
  <si>
    <t>Cenário alternativo 1</t>
  </si>
  <si>
    <t>Cenário alternativo 2</t>
  </si>
  <si>
    <t>Cenário alternativo 3</t>
  </si>
  <si>
    <t>Custo cenário referência - Ano</t>
  </si>
  <si>
    <t>Cenário de referência - Evolução dos custos médios mensais em 5 anos, de acordo com ajustes econômicos</t>
  </si>
  <si>
    <t>Cenário alternativo 1 - Evolução dos custos médios mensais em 5 anos, de acordo com ajustes econômicos</t>
  </si>
  <si>
    <t>Cenário alternativo 2 - Evolução dos custos médios mensais em 5 anos, de acordo com ajustes econômicos</t>
  </si>
  <si>
    <t>Cenário alternativo 3 - Evolução dos custos médios mensais em 5 anos, de acordo com ajustes econômicos</t>
  </si>
  <si>
    <t>Custo do cenário alternativo 1 ajustado para a inflação</t>
  </si>
  <si>
    <t>Custo do cenário alternativo 1 ajustada para descontos</t>
  </si>
  <si>
    <t>Custo do cenário alternativo 1 ajustado para inflação e descontos</t>
  </si>
  <si>
    <t>Custo do cenário alternativo 1 sem ajustes</t>
  </si>
  <si>
    <t>IO cenário alternativo 1 vs cenário de referência sem ajustes</t>
  </si>
  <si>
    <t>IO cenário alternativo 1 vs cenário de referência ajustado para a inflação</t>
  </si>
  <si>
    <t>IO cenário alternativo 1 vs cenário de referência ajustada para descontos</t>
  </si>
  <si>
    <t>IO cenário alternativo 1 vs cenário de referência ajustado para inflação e descontos</t>
  </si>
  <si>
    <t>Epidemiológico</t>
  </si>
  <si>
    <t>Reembolso</t>
  </si>
  <si>
    <t>Incidência anual da doença</t>
  </si>
  <si>
    <t>Cenário 3 vs Cenário 2</t>
  </si>
  <si>
    <t>1 - Critérios</t>
  </si>
  <si>
    <t>2 - Cenários</t>
  </si>
  <si>
    <t>4 - Restrições - Demandas</t>
  </si>
  <si>
    <t>3 - População de Interesse</t>
  </si>
  <si>
    <t>5 - Dinâmica da Doença</t>
  </si>
  <si>
    <t>Índice</t>
  </si>
  <si>
    <t>Fundo verde-claro = pano de fundo, não editável</t>
  </si>
  <si>
    <t>Cenário 2 vs Cenário 1</t>
  </si>
  <si>
    <t>Cenário 3 vs Cenário 1</t>
  </si>
  <si>
    <t>Legenda quanto à orientaçao de edição da planilha</t>
  </si>
  <si>
    <t>Cenário Alternativo 1:</t>
  </si>
  <si>
    <t>Cenário Alternativo 2:</t>
  </si>
  <si>
    <t>Cenário Alternativo 3:</t>
  </si>
  <si>
    <t>Cenário de Referência</t>
  </si>
  <si>
    <t>Cenário 3 vs Cenário de referência</t>
  </si>
  <si>
    <t xml:space="preserve"> para </t>
  </si>
  <si>
    <t>Cenários em comparação:</t>
  </si>
  <si>
    <t>Inflação média do período</t>
  </si>
  <si>
    <t>Valor da taxa de desconto</t>
  </si>
  <si>
    <t>Cenário 2 vs Cenário de referência</t>
  </si>
  <si>
    <t xml:space="preserve">   Cenário de referência:</t>
  </si>
  <si>
    <t xml:space="preserve">   Cenário alternativo 1:</t>
  </si>
  <si>
    <t xml:space="preserve">   Cenário alternativo 2:</t>
  </si>
  <si>
    <t xml:space="preserve">   Cenário alternativo 3:</t>
  </si>
  <si>
    <t xml:space="preserve">    Perspectiva da análise:</t>
  </si>
  <si>
    <t xml:space="preserve">    Horizonte temporal:</t>
  </si>
  <si>
    <t xml:space="preserve">    Ajuste para inflação?</t>
  </si>
  <si>
    <t xml:space="preserve">    Ajuste para desconto?</t>
  </si>
  <si>
    <t xml:space="preserve">    Análise de Impacto Orçamentário:</t>
  </si>
  <si>
    <t xml:space="preserve">    Tamanho da população:</t>
  </si>
  <si>
    <t>Planilha Brasileira de Impacto Orçamentário de Tecnologias da Saúde</t>
  </si>
  <si>
    <t>Cenário 1 vs Cenário de referência</t>
  </si>
  <si>
    <r>
      <t xml:space="preserve">Impacto orçamentário em </t>
    </r>
    <r>
      <rPr>
        <b/>
        <sz val="12"/>
        <rFont val="Arial"/>
        <family val="2"/>
      </rPr>
      <t>5</t>
    </r>
    <r>
      <rPr>
        <b/>
        <sz val="12"/>
        <rFont val="Arial"/>
        <family val="2"/>
      </rPr>
      <t xml:space="preserve"> anos</t>
    </r>
  </si>
  <si>
    <r>
      <t>Impacto orçamentário em</t>
    </r>
    <r>
      <rPr>
        <b/>
        <sz val="12"/>
        <rFont val="Arial"/>
        <family val="2"/>
      </rPr>
      <t xml:space="preserve"> 5</t>
    </r>
    <r>
      <rPr>
        <b/>
        <sz val="12"/>
        <rFont val="Arial"/>
        <family val="2"/>
      </rPr>
      <t xml:space="preserve"> anos</t>
    </r>
  </si>
  <si>
    <t>CÉLULAS DE PROGRAMAÇÃO - NÃO EDITAR</t>
  </si>
  <si>
    <t>Tipo de intervenção: farmacológica continuada</t>
  </si>
  <si>
    <t>Estudo de Impacto Orçamentário: Modelo 1 - Tratamento farmacológico de doença crônica</t>
  </si>
  <si>
    <t>Tecnologia em estudo</t>
  </si>
  <si>
    <t>Terapia A</t>
  </si>
  <si>
    <t>Terapia B</t>
  </si>
  <si>
    <t>Terapia C</t>
  </si>
  <si>
    <t>Definição da população de interesse</t>
  </si>
  <si>
    <t xml:space="preserve">Um dos métodos deve ser escolhido </t>
  </si>
  <si>
    <t>Descrição da população geral de estudo</t>
  </si>
  <si>
    <t>Porcentagem da população elegível</t>
  </si>
  <si>
    <t>Número de indivíduos para análise</t>
  </si>
  <si>
    <t>Número de indivíduos estimado para uso da terapia em análise conforme dados de mercado (pedidos de reembolso) ou estimativa conforme demanda identificada.</t>
  </si>
  <si>
    <t>Descrever se reembolso ou demanda aferida</t>
  </si>
  <si>
    <t>Mortalidade anual cenário de referência</t>
  </si>
  <si>
    <t>Mortalidade anual cenário alternativo 1</t>
  </si>
  <si>
    <t>Mortalidade anual cenário alternativo 2</t>
  </si>
  <si>
    <t>Mortalidade anual cenário alternativo 3</t>
  </si>
  <si>
    <t>Terapia A - custos diretos</t>
  </si>
  <si>
    <t>Custo unitário</t>
  </si>
  <si>
    <t xml:space="preserve">Unidades mensais </t>
  </si>
  <si>
    <t>Custo mensal da terapia A</t>
  </si>
  <si>
    <t>Custo cumulativo mensal da terapia A</t>
  </si>
  <si>
    <t>Terapia A - custos associados</t>
  </si>
  <si>
    <t xml:space="preserve">Unidades requeridas por mês - adjuvante </t>
  </si>
  <si>
    <t xml:space="preserve">Custo anual adicional </t>
  </si>
  <si>
    <t>Terapia NOVA - custos diretos</t>
  </si>
  <si>
    <t>Custo mensal direto da NOVA terapia</t>
  </si>
  <si>
    <t>Custo efetivo mensal da NOVA terapia</t>
  </si>
  <si>
    <t>Unidades requeridas por mês - adjuvante</t>
  </si>
  <si>
    <t>Custo mensal direto da terapia B</t>
  </si>
  <si>
    <t>Custo cumulativo mensal da terapia B</t>
  </si>
  <si>
    <t>Custo mensal direto da terapia C</t>
  </si>
  <si>
    <t>Custo efetivo mensal da terapia C</t>
  </si>
  <si>
    <t>Frequência anual de parefeitos leves</t>
  </si>
  <si>
    <t>Frequência anual de parefeitos graves</t>
  </si>
  <si>
    <t>Ajustes Econômicos</t>
  </si>
  <si>
    <t>Custo anual com consultas médicas adicionais</t>
  </si>
  <si>
    <t>Custo anual com exames laboratoriais adicionais</t>
  </si>
  <si>
    <t>Custo anual adicional - nova terapia</t>
  </si>
  <si>
    <t>Custo anual adicional - terapia A</t>
  </si>
  <si>
    <t>Custo anual adicional - terapia B</t>
  </si>
  <si>
    <t>Custo anual adicional - terapia C</t>
  </si>
  <si>
    <t>Taxa de incorporação a cada ano</t>
  </si>
  <si>
    <t>Cenário alternativo 1 ano a ano</t>
  </si>
  <si>
    <t>Custo cenário alternativo 1 - Mês (ano 1)</t>
  </si>
  <si>
    <t>Custo cenário alternativo 1 - Ano 1</t>
  </si>
  <si>
    <t>Custo cenário alternativo 1 - Ano 2</t>
  </si>
  <si>
    <t>Custo cenário alternativo 1 - Ano 3</t>
  </si>
  <si>
    <t>Custo cenário alternativo 1 - Ano 4</t>
  </si>
  <si>
    <t>Custo cenário alternativo 1 - Ano 5</t>
  </si>
  <si>
    <t>Custo cenário alternativo 1 - Mês (ano 2)</t>
  </si>
  <si>
    <t>Custo cenário alternativo 1 - Mês (ano 3)</t>
  </si>
  <si>
    <t>Custo cenário alternativo 1 - Mês (ano 4)</t>
  </si>
  <si>
    <t>Custo cenário alternativo 1 - Mês (ano 5)</t>
  </si>
  <si>
    <t>Custos evitados com a nova terapia</t>
  </si>
  <si>
    <t>Custo médio do evento evitado</t>
  </si>
  <si>
    <t>Cenário alternativo 2 ano a ano</t>
  </si>
  <si>
    <t>Cenário alternativo 3 ano a ano</t>
  </si>
  <si>
    <t>Restrições 1 e 2</t>
  </si>
  <si>
    <t>Restrições 1, 2, 3 e 4</t>
  </si>
  <si>
    <t>Restrição 1</t>
  </si>
  <si>
    <t>Custo cenário alternativo 2 - Mês (ano 1)</t>
  </si>
  <si>
    <t>Custo cenário alternativo 2 - Ano 1</t>
  </si>
  <si>
    <t>Custo cenário alternativo 2 - Mês (ano 2)</t>
  </si>
  <si>
    <t>Custo cenário alternativo 2 - Ano 2</t>
  </si>
  <si>
    <t>Custo cenário alternativo 2 - Mês (ano 3)</t>
  </si>
  <si>
    <t>Custo cenário alternativo 2 - Ano 3</t>
  </si>
  <si>
    <t>Custo cenário alternativo 2 - Mês (ano 4)</t>
  </si>
  <si>
    <t>Custo cenário alternativo 2 - Ano 4</t>
  </si>
  <si>
    <t>Custo cenário alternativo 2 - Mês (ano 5)</t>
  </si>
  <si>
    <t>Custo cenário alternativo 2 - Ano 5</t>
  </si>
  <si>
    <t>Custo cenário alternativo 3 - Mês (ano 1)</t>
  </si>
  <si>
    <t>Custo cenário alternativo 3 - Ano 1</t>
  </si>
  <si>
    <t>Custo cenário alternativo 3 - Mês (ano 2)</t>
  </si>
  <si>
    <t>Custo cenário alternativo 3 - Ano 2</t>
  </si>
  <si>
    <t>Custo cenário alternativo 3 - Mês (ano 3)</t>
  </si>
  <si>
    <t>Custo cenário alternativo 3 - Ano 3</t>
  </si>
  <si>
    <t>Custo cenário alternativo 3 - Mês (ano 4)</t>
  </si>
  <si>
    <t>Custo cenário alternativo 3 - Ano 4</t>
  </si>
  <si>
    <t>Custo cenário alternativo 3 - Mês (ano 5)</t>
  </si>
  <si>
    <t>Custo cenário alternativo 3 - Ano 5</t>
  </si>
  <si>
    <r>
      <t>Custo inicial por cenário (</t>
    </r>
    <r>
      <rPr>
        <b/>
        <sz val="10"/>
        <color indexed="10"/>
        <rFont val="Arial"/>
        <family val="2"/>
      </rPr>
      <t>estático,</t>
    </r>
    <r>
      <rPr>
        <b/>
        <sz val="10"/>
        <rFont val="Arial"/>
        <family val="2"/>
      </rPr>
      <t xml:space="preserve"> por paciente, mensal e anual)</t>
    </r>
  </si>
  <si>
    <t>6 - Custos do Tratamento</t>
  </si>
  <si>
    <t>7 - Custos Evitados</t>
  </si>
  <si>
    <t>8 - AIO - Custo por Cenário</t>
  </si>
  <si>
    <t>9 - Ajustes Econômicos</t>
  </si>
  <si>
    <t>10 - Cenário de Referência</t>
  </si>
  <si>
    <t>11 - Cenário 1</t>
  </si>
  <si>
    <t>12 - Cenário 2</t>
  </si>
  <si>
    <t>13 - Cenário 3</t>
  </si>
  <si>
    <t>14 - IO Incremental</t>
  </si>
  <si>
    <t>Número de desfechos no grupo intervenção</t>
  </si>
  <si>
    <t>Número total no grupo intervenção</t>
  </si>
  <si>
    <t>Número de desfechos no grupo controle</t>
  </si>
  <si>
    <t>Número total no grupo controle</t>
  </si>
  <si>
    <t>Tempo de follow up no estudo (em anos)</t>
  </si>
  <si>
    <t>pacientes tratados com a nova intervenção por um ano</t>
  </si>
  <si>
    <t>Cenário Alternativo 1 com custos evitados:</t>
  </si>
  <si>
    <t>Mortalidade anual ponderada para o cenário alternativo 1</t>
  </si>
  <si>
    <t>Custo cenário alternativo 1 por indivíduo, ano *</t>
  </si>
  <si>
    <t>Custo cenário alternativo 1 por indivíduo, ano 2*</t>
  </si>
  <si>
    <t>Custo cenário alternativo 1 por indivíduo, ano 3*</t>
  </si>
  <si>
    <t>Impacto Orçamentário Bruto cenário alternativo 1</t>
  </si>
  <si>
    <t>Custo cenário alternativo 1 por indivíduo, ano 4*</t>
  </si>
  <si>
    <t>Custo cenário alternativo 1 por indivíduo, ano 5*</t>
  </si>
  <si>
    <t>Mortalidade anual ponderada para o cenário alternativo 2</t>
  </si>
  <si>
    <t>Custo cenário alternativo 2 por indivíduo, ano *</t>
  </si>
  <si>
    <t>Custo cenário alternativo 2 por indivíduo, ano 2*</t>
  </si>
  <si>
    <t>Custo cenário alternativo 2 por indivíduo, ano 3*</t>
  </si>
  <si>
    <t>Impacto Orçamentário Bruto cenário alternativo 2</t>
  </si>
  <si>
    <t>Custo cenário alternativo 2 por indivíduo, ano 4*</t>
  </si>
  <si>
    <t>Custo cenário alternativo 2 por indivíduo, ano 5*</t>
  </si>
  <si>
    <t>Mortalidade anual ponderada para o cenário alternativo 3</t>
  </si>
  <si>
    <t>Custo cenário alternativo 3 por indivíduo, ano *</t>
  </si>
  <si>
    <t>Custo cenário alternativo 3 por indivíduo, ano 2*</t>
  </si>
  <si>
    <t>Custo cenário alternativo 3 por indivíduo, ano 3*</t>
  </si>
  <si>
    <t>Impacto Orçamentário Bruto cenário alternativo 3</t>
  </si>
  <si>
    <t>Custo cenário alternativo 3 por indivíduo, ano 4*</t>
  </si>
  <si>
    <t>Custo cenário alternativo 3 por indivíduo, ano 5*</t>
  </si>
  <si>
    <t xml:space="preserve">Custo evitado em 1.000 pacientes tratados com a </t>
  </si>
  <si>
    <t>nova intervenção</t>
  </si>
  <si>
    <t>Custo do Cenário Alternativo 2 sem ajustes</t>
  </si>
  <si>
    <t>Custo do Cenário Alternativo 2 ajustado para a inflação</t>
  </si>
  <si>
    <t>Custo do Cenário Alternativo 2 ajustada para descontos</t>
  </si>
  <si>
    <t>Custo do Cenário Alternativo 2 ajustado para inflação e descontos</t>
  </si>
  <si>
    <t>IO Cenário Alternativo 2 vs cenário de referência sem ajustes</t>
  </si>
  <si>
    <t>IO Cenário Alternativo 2 vs cenário de referência ajustado para a inflação</t>
  </si>
  <si>
    <t>IO Cenário Alternativo 2 vs cenário de referência ajustada para descontos</t>
  </si>
  <si>
    <t>IO Cenário Alternativo 2 vs cenário de referência ajustado para inflação e descontos</t>
  </si>
  <si>
    <t>Cenário Alternativo 2 com custos evitados:</t>
  </si>
  <si>
    <t>Impacto Orçamentário Incremental: sem custos evitados</t>
  </si>
  <si>
    <t>Impacto Orçamentário Incremental: com custos evitados</t>
  </si>
  <si>
    <t>15 - Output para Impressão 1 - sem Custos Evitados</t>
  </si>
  <si>
    <t>16 - Output para Impressão 2 - com Custos Evitados</t>
  </si>
  <si>
    <t xml:space="preserve">                   Considerar custos evitados?</t>
  </si>
  <si>
    <t>Versão desenvolvida para Fármacos - Janeiro 2011</t>
  </si>
  <si>
    <t>Nome da doença</t>
  </si>
  <si>
    <t>Nome do fármaco avaliado</t>
  </si>
  <si>
    <t>Perspectiva escolhida para a análise</t>
  </si>
  <si>
    <t>Rótulo Cenário Referência</t>
  </si>
  <si>
    <t>Rótulo Cenário Alternativo 1</t>
  </si>
  <si>
    <t>Comparador 1</t>
  </si>
  <si>
    <t>Comparador 2</t>
  </si>
  <si>
    <t>Comparador 3</t>
  </si>
  <si>
    <t>Substitua os valores ao lado pelo crescimento esperado no consumo do FÁRMACO AVALIADO ao longo do horizonte temporal</t>
  </si>
  <si>
    <t>Nome do País, Estado ou Município</t>
  </si>
  <si>
    <t>População do território</t>
  </si>
  <si>
    <t>Percentual elegível (faixa etária)</t>
  </si>
  <si>
    <t>faixa etária</t>
  </si>
  <si>
    <t>Prevalência, em %</t>
  </si>
  <si>
    <t>Nome da fonte do dado de tamanho da pop.</t>
  </si>
  <si>
    <t>Restrição 2</t>
  </si>
  <si>
    <t>Restrição 3</t>
  </si>
  <si>
    <t>Restrição 4</t>
  </si>
  <si>
    <t>Ex.: Internação hospitalar</t>
  </si>
  <si>
    <t>Fatores que podem aumentar a demanda pela nova intervenção</t>
  </si>
  <si>
    <t>Informações sobre os fatores que podem modificar o tamanho da população de interesse ao longo dos anos</t>
  </si>
  <si>
    <t>Percentual de aumento anual da prevalência da doença (incidência em % da prevalência)</t>
  </si>
  <si>
    <t>Nome do evento prevenido</t>
  </si>
  <si>
    <t xml:space="preserve">Número de eventos prevenidos para cada 1.000 </t>
  </si>
  <si>
    <t>Considerando os custos efetivos mensais de todas as drogas que compõem um dado cenário e a proporção do uso dessa droga em cada cenário, essa planilha calcula o custo bruto inicial mensal de cada cenário.</t>
  </si>
  <si>
    <t>Custo médio mesal por indivíduo - média ponderada</t>
  </si>
  <si>
    <t>Custo cenário referência - Mês</t>
  </si>
  <si>
    <t>IO ajustado para inflação (somente)</t>
  </si>
  <si>
    <t>Custo do Cenário Alternativo 3 sem ajustes</t>
  </si>
  <si>
    <t>Custo do Cenário Alternativo 3 ajustado para a inflação</t>
  </si>
  <si>
    <t>Custo do Cenário Alternativo 3 ajustada para descontos</t>
  </si>
  <si>
    <t>Custo do Cenário Alternativo 3 ajustado para inflação e descontos</t>
  </si>
  <si>
    <t>IO Cenário Alternativo 3 vs cenário de referência sem ajustes</t>
  </si>
  <si>
    <t>IO Cenário Alternativo 3 vs cenário de referência ajustado para a inflação</t>
  </si>
  <si>
    <t>IO Cenário Alternativo 3 vs cenário de referência ajustada para descontos</t>
  </si>
  <si>
    <t>IO Cenário Alternativo 3 vs cenário de referência ajustado para inflação e descontos</t>
  </si>
  <si>
    <t>Substitua os valores a acima com as QUOTAS DE MERCADO esperadas pra cada fármaco, em cada cenário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</si>
</sst>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_(* #,##0.00_);_(* \(#,##0.00\);_(* \-??_);_(@_)"/>
    <numFmt numFmtId="173" formatCode="0.0%"/>
    <numFmt numFmtId="174" formatCode="&quot;R$ &quot;#,##0.00"/>
    <numFmt numFmtId="175" formatCode="&quot;R$ &quot;#,##0.00_);&quot;(R$ &quot;#,##0.00\)"/>
    <numFmt numFmtId="176" formatCode="&quot;R$&quot;\ #,##0.00"/>
    <numFmt numFmtId="177" formatCode="&quot;R$&quot;\ #,##0"/>
  </numFmts>
  <fonts count="61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2" fontId="0" fillId="0" borderId="0" applyFill="0" applyBorder="0" applyAlignment="0" applyProtection="0"/>
  </cellStyleXfs>
  <cellXfs count="25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5" fillId="34" borderId="0" xfId="44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49" fontId="3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9" fontId="0" fillId="34" borderId="0" xfId="5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3" fontId="6" fillId="34" borderId="0" xfId="62" applyNumberFormat="1" applyFont="1" applyFill="1" applyBorder="1" applyAlignment="1" applyProtection="1">
      <alignment horizontal="center"/>
      <protection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74" fontId="7" fillId="34" borderId="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174" fontId="7" fillId="34" borderId="16" xfId="0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  <xf numFmtId="9" fontId="0" fillId="34" borderId="0" xfId="0" applyNumberFormat="1" applyFill="1" applyAlignment="1">
      <alignment horizontal="center"/>
    </xf>
    <xf numFmtId="0" fontId="0" fillId="34" borderId="0" xfId="0" applyNumberFormat="1" applyFill="1" applyBorder="1" applyAlignment="1">
      <alignment horizontal="center"/>
    </xf>
    <xf numFmtId="9" fontId="0" fillId="34" borderId="0" xfId="51" applyFont="1" applyFill="1" applyBorder="1" applyAlignment="1" applyProtection="1">
      <alignment/>
      <protection/>
    </xf>
    <xf numFmtId="0" fontId="2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ont="1" applyFill="1" applyBorder="1" applyAlignment="1">
      <alignment/>
    </xf>
    <xf numFmtId="174" fontId="11" fillId="34" borderId="0" xfId="0" applyNumberFormat="1" applyFont="1" applyFill="1" applyBorder="1" applyAlignment="1">
      <alignment horizontal="center"/>
    </xf>
    <xf numFmtId="174" fontId="11" fillId="34" borderId="21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174" fontId="11" fillId="34" borderId="23" xfId="0" applyNumberFormat="1" applyFont="1" applyFill="1" applyBorder="1" applyAlignment="1">
      <alignment horizontal="center"/>
    </xf>
    <xf numFmtId="174" fontId="11" fillId="34" borderId="24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49" fontId="12" fillId="35" borderId="0" xfId="0" applyNumberFormat="1" applyFont="1" applyFill="1" applyAlignment="1">
      <alignment/>
    </xf>
    <xf numFmtId="0" fontId="8" fillId="34" borderId="11" xfId="0" applyFont="1" applyFill="1" applyBorder="1" applyAlignment="1">
      <alignment/>
    </xf>
    <xf numFmtId="0" fontId="0" fillId="34" borderId="14" xfId="0" applyFill="1" applyBorder="1" applyAlignment="1">
      <alignment/>
    </xf>
    <xf numFmtId="1" fontId="0" fillId="34" borderId="25" xfId="0" applyNumberFormat="1" applyFill="1" applyBorder="1" applyAlignment="1">
      <alignment/>
    </xf>
    <xf numFmtId="174" fontId="13" fillId="34" borderId="2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174" fontId="13" fillId="34" borderId="26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176" fontId="6" fillId="34" borderId="28" xfId="0" applyNumberFormat="1" applyFont="1" applyFill="1" applyBorder="1" applyAlignment="1">
      <alignment/>
    </xf>
    <xf numFmtId="176" fontId="6" fillId="34" borderId="29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9" fontId="0" fillId="34" borderId="0" xfId="51" applyFont="1" applyFill="1" applyBorder="1" applyAlignment="1" applyProtection="1">
      <alignment horizontal="center"/>
      <protection/>
    </xf>
    <xf numFmtId="174" fontId="0" fillId="34" borderId="0" xfId="0" applyNumberFormat="1" applyFill="1" applyAlignment="1">
      <alignment horizontal="right"/>
    </xf>
    <xf numFmtId="175" fontId="0" fillId="34" borderId="0" xfId="62" applyNumberFormat="1" applyFont="1" applyFill="1" applyBorder="1" applyAlignment="1" applyProtection="1">
      <alignment horizontal="right"/>
      <protection/>
    </xf>
    <xf numFmtId="174" fontId="0" fillId="34" borderId="0" xfId="0" applyNumberFormat="1" applyFill="1" applyAlignment="1">
      <alignment/>
    </xf>
    <xf numFmtId="0" fontId="0" fillId="36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/>
    </xf>
    <xf numFmtId="0" fontId="3" fillId="37" borderId="30" xfId="0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/>
      <protection locked="0"/>
    </xf>
    <xf numFmtId="0" fontId="4" fillId="37" borderId="31" xfId="0" applyFont="1" applyFill="1" applyBorder="1" applyAlignment="1" applyProtection="1">
      <alignment horizontal="center"/>
      <protection locked="0"/>
    </xf>
    <xf numFmtId="49" fontId="3" fillId="37" borderId="30" xfId="0" applyNumberFormat="1" applyFont="1" applyFill="1" applyBorder="1" applyAlignment="1" applyProtection="1">
      <alignment horizontal="center"/>
      <protection locked="0"/>
    </xf>
    <xf numFmtId="49" fontId="3" fillId="37" borderId="32" xfId="0" applyNumberFormat="1" applyFont="1" applyFill="1" applyBorder="1" applyAlignment="1" applyProtection="1">
      <alignment horizontal="center"/>
      <protection locked="0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9" fontId="0" fillId="37" borderId="0" xfId="51" applyFont="1" applyFill="1" applyBorder="1" applyAlignment="1" applyProtection="1">
      <alignment horizontal="center"/>
      <protection/>
    </xf>
    <xf numFmtId="0" fontId="8" fillId="37" borderId="33" xfId="0" applyFont="1" applyFill="1" applyBorder="1" applyAlignment="1">
      <alignment horizontal="center"/>
    </xf>
    <xf numFmtId="9" fontId="0" fillId="37" borderId="34" xfId="51" applyFont="1" applyFill="1" applyBorder="1" applyAlignment="1" applyProtection="1">
      <alignment horizontal="center"/>
      <protection/>
    </xf>
    <xf numFmtId="9" fontId="0" fillId="37" borderId="35" xfId="51" applyFont="1" applyFill="1" applyBorder="1" applyAlignment="1" applyProtection="1">
      <alignment horizontal="center"/>
      <protection/>
    </xf>
    <xf numFmtId="9" fontId="0" fillId="37" borderId="36" xfId="51" applyFont="1" applyFill="1" applyBorder="1" applyAlignment="1" applyProtection="1">
      <alignment horizontal="center"/>
      <protection/>
    </xf>
    <xf numFmtId="9" fontId="0" fillId="37" borderId="37" xfId="51" applyFont="1" applyFill="1" applyBorder="1" applyAlignment="1" applyProtection="1">
      <alignment horizontal="center"/>
      <protection/>
    </xf>
    <xf numFmtId="9" fontId="0" fillId="37" borderId="38" xfId="51" applyFont="1" applyFill="1" applyBorder="1" applyAlignment="1" applyProtection="1">
      <alignment horizontal="center"/>
      <protection/>
    </xf>
    <xf numFmtId="9" fontId="0" fillId="37" borderId="39" xfId="51" applyFont="1" applyFill="1" applyBorder="1" applyAlignment="1" applyProtection="1">
      <alignment horizontal="center"/>
      <protection/>
    </xf>
    <xf numFmtId="9" fontId="0" fillId="37" borderId="40" xfId="51" applyFont="1" applyFill="1" applyBorder="1" applyAlignment="1" applyProtection="1">
      <alignment horizontal="center"/>
      <protection/>
    </xf>
    <xf numFmtId="9" fontId="0" fillId="37" borderId="41" xfId="51" applyFont="1" applyFill="1" applyBorder="1" applyAlignment="1" applyProtection="1">
      <alignment horizontal="center"/>
      <protection/>
    </xf>
    <xf numFmtId="0" fontId="0" fillId="37" borderId="30" xfId="0" applyFont="1" applyFill="1" applyBorder="1" applyAlignment="1">
      <alignment horizontal="center"/>
    </xf>
    <xf numFmtId="3" fontId="0" fillId="37" borderId="32" xfId="0" applyNumberFormat="1" applyFill="1" applyBorder="1" applyAlignment="1">
      <alignment horizontal="center"/>
    </xf>
    <xf numFmtId="173" fontId="0" fillId="37" borderId="32" xfId="0" applyNumberFormat="1" applyFill="1" applyBorder="1" applyAlignment="1">
      <alignment horizontal="center"/>
    </xf>
    <xf numFmtId="9" fontId="0" fillId="37" borderId="31" xfId="0" applyNumberForma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3" fontId="0" fillId="37" borderId="31" xfId="0" applyNumberFormat="1" applyFill="1" applyBorder="1" applyAlignment="1">
      <alignment horizontal="center"/>
    </xf>
    <xf numFmtId="3" fontId="16" fillId="37" borderId="31" xfId="0" applyNumberFormat="1" applyFont="1" applyFill="1" applyBorder="1" applyAlignment="1">
      <alignment horizontal="center"/>
    </xf>
    <xf numFmtId="173" fontId="0" fillId="37" borderId="37" xfId="0" applyNumberForma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34" xfId="0" applyFill="1" applyBorder="1" applyAlignment="1">
      <alignment/>
    </xf>
    <xf numFmtId="9" fontId="0" fillId="37" borderId="36" xfId="0" applyNumberFormat="1" applyFill="1" applyBorder="1" applyAlignment="1">
      <alignment/>
    </xf>
    <xf numFmtId="0" fontId="0" fillId="37" borderId="37" xfId="0" applyFill="1" applyBorder="1" applyAlignment="1">
      <alignment/>
    </xf>
    <xf numFmtId="9" fontId="0" fillId="37" borderId="38" xfId="0" applyNumberFormat="1" applyFill="1" applyBorder="1" applyAlignment="1">
      <alignment/>
    </xf>
    <xf numFmtId="0" fontId="0" fillId="37" borderId="39" xfId="0" applyFill="1" applyBorder="1" applyAlignment="1">
      <alignment/>
    </xf>
    <xf numFmtId="9" fontId="0" fillId="37" borderId="41" xfId="0" applyNumberFormat="1" applyFill="1" applyBorder="1" applyAlignment="1">
      <alignment/>
    </xf>
    <xf numFmtId="9" fontId="0" fillId="37" borderId="30" xfId="0" applyNumberFormat="1" applyFill="1" applyBorder="1" applyAlignment="1">
      <alignment horizontal="center"/>
    </xf>
    <xf numFmtId="9" fontId="0" fillId="37" borderId="32" xfId="0" applyNumberFormat="1" applyFill="1" applyBorder="1" applyAlignment="1">
      <alignment horizontal="center"/>
    </xf>
    <xf numFmtId="9" fontId="0" fillId="33" borderId="0" xfId="51" applyFont="1" applyFill="1" applyBorder="1" applyAlignment="1" applyProtection="1">
      <alignment horizontal="center"/>
      <protection/>
    </xf>
    <xf numFmtId="173" fontId="0" fillId="37" borderId="30" xfId="0" applyNumberFormat="1" applyFill="1" applyBorder="1" applyAlignment="1">
      <alignment horizontal="center"/>
    </xf>
    <xf numFmtId="173" fontId="0" fillId="37" borderId="31" xfId="0" applyNumberFormat="1" applyFill="1" applyBorder="1" applyAlignment="1">
      <alignment horizontal="center"/>
    </xf>
    <xf numFmtId="0" fontId="10" fillId="33" borderId="43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center"/>
    </xf>
    <xf numFmtId="0" fontId="8" fillId="37" borderId="44" xfId="0" applyFont="1" applyFill="1" applyBorder="1" applyAlignment="1">
      <alignment horizontal="center"/>
    </xf>
    <xf numFmtId="174" fontId="0" fillId="37" borderId="30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33" borderId="40" xfId="0" applyNumberFormat="1" applyFont="1" applyFill="1" applyBorder="1" applyAlignment="1">
      <alignment horizontal="center"/>
    </xf>
    <xf numFmtId="9" fontId="0" fillId="37" borderId="30" xfId="51" applyFont="1" applyFill="1" applyBorder="1" applyAlignment="1" applyProtection="1">
      <alignment/>
      <protection/>
    </xf>
    <xf numFmtId="9" fontId="0" fillId="37" borderId="32" xfId="51" applyFont="1" applyFill="1" applyBorder="1" applyAlignment="1" applyProtection="1">
      <alignment/>
      <protection/>
    </xf>
    <xf numFmtId="9" fontId="0" fillId="37" borderId="31" xfId="51" applyFont="1" applyFill="1" applyBorder="1" applyAlignment="1" applyProtection="1">
      <alignment/>
      <protection/>
    </xf>
    <xf numFmtId="9" fontId="0" fillId="37" borderId="10" xfId="51" applyFont="1" applyFill="1" applyBorder="1" applyAlignment="1" applyProtection="1">
      <alignment/>
      <protection/>
    </xf>
    <xf numFmtId="1" fontId="0" fillId="33" borderId="25" xfId="0" applyNumberFormat="1" applyFill="1" applyBorder="1" applyAlignment="1">
      <alignment/>
    </xf>
    <xf numFmtId="173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49" fontId="12" fillId="33" borderId="0" xfId="0" applyNumberFormat="1" applyFont="1" applyFill="1" applyAlignment="1" applyProtection="1">
      <alignment/>
      <protection/>
    </xf>
    <xf numFmtId="17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44" fontId="0" fillId="0" borderId="40" xfId="0" applyNumberFormat="1" applyBorder="1" applyAlignment="1">
      <alignment/>
    </xf>
    <xf numFmtId="173" fontId="0" fillId="0" borderId="40" xfId="0" applyNumberFormat="1" applyBorder="1" applyAlignment="1">
      <alignment/>
    </xf>
    <xf numFmtId="44" fontId="0" fillId="0" borderId="40" xfId="0" applyNumberFormat="1" applyBorder="1" applyAlignment="1">
      <alignment horizontal="center"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34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2" fillId="0" borderId="37" xfId="0" applyFont="1" applyBorder="1" applyAlignment="1">
      <alignment horizontal="left"/>
    </xf>
    <xf numFmtId="9" fontId="0" fillId="0" borderId="4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9" fontId="2" fillId="0" borderId="33" xfId="0" applyNumberFormat="1" applyFont="1" applyBorder="1" applyAlignment="1">
      <alignment/>
    </xf>
    <xf numFmtId="0" fontId="17" fillId="34" borderId="0" xfId="0" applyFont="1" applyFill="1" applyAlignment="1">
      <alignment horizontal="center"/>
    </xf>
    <xf numFmtId="0" fontId="2" fillId="34" borderId="30" xfId="0" applyFont="1" applyFill="1" applyBorder="1" applyAlignment="1">
      <alignment horizontal="left"/>
    </xf>
    <xf numFmtId="0" fontId="15" fillId="34" borderId="0" xfId="44" applyFont="1" applyFill="1" applyBorder="1" applyAlignment="1" applyProtection="1">
      <alignment/>
      <protection/>
    </xf>
    <xf numFmtId="9" fontId="8" fillId="37" borderId="42" xfId="51" applyFont="1" applyFill="1" applyBorder="1" applyAlignment="1" applyProtection="1">
      <alignment horizontal="center"/>
      <protection/>
    </xf>
    <xf numFmtId="49" fontId="0" fillId="34" borderId="0" xfId="0" applyNumberFormat="1" applyFill="1" applyAlignment="1">
      <alignment/>
    </xf>
    <xf numFmtId="49" fontId="0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0" fontId="0" fillId="34" borderId="34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9" fillId="34" borderId="39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9" fillId="34" borderId="37" xfId="0" applyFont="1" applyFill="1" applyBorder="1" applyAlignment="1">
      <alignment wrapText="1"/>
    </xf>
    <xf numFmtId="0" fontId="2" fillId="34" borderId="34" xfId="0" applyFon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9" fontId="0" fillId="34" borderId="0" xfId="0" applyNumberFormat="1" applyFill="1" applyBorder="1" applyAlignment="1">
      <alignment/>
    </xf>
    <xf numFmtId="3" fontId="0" fillId="33" borderId="38" xfId="0" applyNumberFormat="1" applyFill="1" applyBorder="1" applyAlignment="1">
      <alignment horizontal="center"/>
    </xf>
    <xf numFmtId="3" fontId="7" fillId="34" borderId="38" xfId="62" applyNumberFormat="1" applyFont="1" applyFill="1" applyBorder="1" applyAlignment="1" applyProtection="1">
      <alignment horizontal="center"/>
      <protection/>
    </xf>
    <xf numFmtId="0" fontId="0" fillId="34" borderId="38" xfId="0" applyFill="1" applyBorder="1" applyAlignment="1">
      <alignment/>
    </xf>
    <xf numFmtId="0" fontId="5" fillId="34" borderId="0" xfId="0" applyFont="1" applyFill="1" applyBorder="1" applyAlignment="1">
      <alignment/>
    </xf>
    <xf numFmtId="3" fontId="7" fillId="34" borderId="40" xfId="0" applyNumberFormat="1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16" fillId="34" borderId="0" xfId="0" applyFont="1" applyFill="1" applyAlignment="1">
      <alignment horizontal="left"/>
    </xf>
    <xf numFmtId="9" fontId="0" fillId="33" borderId="0" xfId="0" applyNumberFormat="1" applyFill="1" applyBorder="1" applyAlignment="1">
      <alignment horizontal="center"/>
    </xf>
    <xf numFmtId="10" fontId="7" fillId="34" borderId="38" xfId="0" applyNumberFormat="1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174" fontId="0" fillId="37" borderId="46" xfId="0" applyNumberFormat="1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9" fontId="0" fillId="37" borderId="47" xfId="0" applyNumberFormat="1" applyFill="1" applyBorder="1" applyAlignment="1">
      <alignment horizontal="center"/>
    </xf>
    <xf numFmtId="174" fontId="0" fillId="37" borderId="47" xfId="0" applyNumberFormat="1" applyFill="1" applyBorder="1" applyAlignment="1">
      <alignment horizontal="center"/>
    </xf>
    <xf numFmtId="174" fontId="0" fillId="37" borderId="48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174" fontId="7" fillId="34" borderId="28" xfId="0" applyNumberFormat="1" applyFon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49" fontId="2" fillId="34" borderId="0" xfId="0" applyNumberFormat="1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  <xf numFmtId="9" fontId="0" fillId="33" borderId="34" xfId="51" applyFont="1" applyFill="1" applyBorder="1" applyAlignment="1" applyProtection="1">
      <alignment horizontal="center"/>
      <protection/>
    </xf>
    <xf numFmtId="9" fontId="0" fillId="33" borderId="35" xfId="51" applyFont="1" applyFill="1" applyBorder="1" applyAlignment="1" applyProtection="1">
      <alignment horizontal="center"/>
      <protection/>
    </xf>
    <xf numFmtId="9" fontId="0" fillId="33" borderId="36" xfId="51" applyFont="1" applyFill="1" applyBorder="1" applyAlignment="1" applyProtection="1">
      <alignment horizontal="center"/>
      <protection/>
    </xf>
    <xf numFmtId="9" fontId="0" fillId="33" borderId="37" xfId="51" applyFont="1" applyFill="1" applyBorder="1" applyAlignment="1" applyProtection="1">
      <alignment horizontal="center"/>
      <protection/>
    </xf>
    <xf numFmtId="9" fontId="0" fillId="33" borderId="0" xfId="51" applyFont="1" applyFill="1" applyBorder="1" applyAlignment="1" applyProtection="1">
      <alignment horizontal="center"/>
      <protection/>
    </xf>
    <xf numFmtId="9" fontId="0" fillId="33" borderId="38" xfId="51" applyFont="1" applyFill="1" applyBorder="1" applyAlignment="1" applyProtection="1">
      <alignment horizontal="center"/>
      <protection/>
    </xf>
    <xf numFmtId="9" fontId="0" fillId="33" borderId="39" xfId="51" applyFont="1" applyFill="1" applyBorder="1" applyAlignment="1" applyProtection="1">
      <alignment horizontal="center"/>
      <protection/>
    </xf>
    <xf numFmtId="9" fontId="0" fillId="33" borderId="40" xfId="51" applyFont="1" applyFill="1" applyBorder="1" applyAlignment="1" applyProtection="1">
      <alignment horizontal="center"/>
      <protection/>
    </xf>
    <xf numFmtId="9" fontId="0" fillId="33" borderId="41" xfId="5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4" borderId="0" xfId="0" applyFont="1" applyFill="1" applyAlignment="1" applyProtection="1">
      <alignment/>
      <protection/>
    </xf>
    <xf numFmtId="0" fontId="4" fillId="37" borderId="32" xfId="0" applyFont="1" applyFill="1" applyBorder="1" applyAlignment="1" applyProtection="1">
      <alignment horizontal="center"/>
      <protection locked="0"/>
    </xf>
    <xf numFmtId="2" fontId="0" fillId="33" borderId="25" xfId="0" applyNumberFormat="1" applyFill="1" applyBorder="1" applyAlignment="1">
      <alignment/>
    </xf>
    <xf numFmtId="9" fontId="0" fillId="37" borderId="30" xfId="51" applyFont="1" applyFill="1" applyBorder="1" applyAlignment="1" applyProtection="1">
      <alignment horizontal="center"/>
      <protection/>
    </xf>
    <xf numFmtId="9" fontId="0" fillId="37" borderId="32" xfId="51" applyFont="1" applyFill="1" applyBorder="1" applyAlignment="1" applyProtection="1">
      <alignment horizontal="center"/>
      <protection/>
    </xf>
    <xf numFmtId="9" fontId="0" fillId="37" borderId="31" xfId="51" applyFont="1" applyFill="1" applyBorder="1" applyAlignment="1" applyProtection="1">
      <alignment horizontal="center"/>
      <protection/>
    </xf>
    <xf numFmtId="49" fontId="8" fillId="33" borderId="44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0" fontId="16" fillId="37" borderId="30" xfId="0" applyFont="1" applyFill="1" applyBorder="1" applyAlignment="1">
      <alignment horizontal="center"/>
    </xf>
    <xf numFmtId="173" fontId="0" fillId="0" borderId="40" xfId="0" applyNumberFormat="1" applyBorder="1" applyAlignment="1">
      <alignment horizontal="left"/>
    </xf>
    <xf numFmtId="173" fontId="0" fillId="0" borderId="41" xfId="0" applyNumberFormat="1" applyBorder="1" applyAlignment="1">
      <alignment horizontal="left"/>
    </xf>
    <xf numFmtId="0" fontId="1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2" fillId="34" borderId="32" xfId="44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Alignment="1" applyProtection="1">
      <alignment horizontal="left"/>
      <protection/>
    </xf>
    <xf numFmtId="0" fontId="0" fillId="34" borderId="0" xfId="0" applyFont="1" applyFill="1" applyBorder="1" applyAlignment="1">
      <alignment horizontal="center"/>
    </xf>
    <xf numFmtId="0" fontId="22" fillId="34" borderId="32" xfId="44" applyFont="1" applyFill="1" applyBorder="1" applyAlignment="1" applyProtection="1">
      <alignment vertical="justify"/>
      <protection/>
    </xf>
    <xf numFmtId="49" fontId="0" fillId="34" borderId="0" xfId="0" applyNumberForma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9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left"/>
    </xf>
    <xf numFmtId="0" fontId="22" fillId="34" borderId="31" xfId="44" applyFont="1" applyFill="1" applyBorder="1" applyAlignment="1" applyProtection="1">
      <alignment vertical="justify"/>
      <protection/>
    </xf>
    <xf numFmtId="0" fontId="0" fillId="34" borderId="0" xfId="0" applyFill="1" applyBorder="1" applyAlignment="1">
      <alignment horizontal="left"/>
    </xf>
    <xf numFmtId="3" fontId="6" fillId="34" borderId="30" xfId="62" applyNumberFormat="1" applyFont="1" applyFill="1" applyBorder="1" applyAlignment="1" applyProtection="1">
      <alignment horizontal="center" vertical="center"/>
      <protection/>
    </xf>
    <xf numFmtId="3" fontId="6" fillId="34" borderId="31" xfId="62" applyNumberFormat="1" applyFont="1" applyFill="1" applyBorder="1" applyAlignment="1" applyProtection="1">
      <alignment horizontal="center" vertical="center"/>
      <protection/>
    </xf>
    <xf numFmtId="177" fontId="6" fillId="34" borderId="30" xfId="62" applyNumberFormat="1" applyFont="1" applyFill="1" applyBorder="1" applyAlignment="1" applyProtection="1">
      <alignment horizontal="center" vertical="center"/>
      <protection/>
    </xf>
    <xf numFmtId="177" fontId="6" fillId="34" borderId="31" xfId="62" applyNumberFormat="1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50" xfId="0" applyFont="1" applyFill="1" applyBorder="1" applyAlignment="1">
      <alignment/>
    </xf>
    <xf numFmtId="0" fontId="10" fillId="34" borderId="51" xfId="0" applyFont="1" applyFill="1" applyBorder="1" applyAlignment="1">
      <alignment/>
    </xf>
    <xf numFmtId="0" fontId="10" fillId="34" borderId="52" xfId="0" applyFont="1" applyFill="1" applyBorder="1" applyAlignment="1">
      <alignment horizontal="left"/>
    </xf>
    <xf numFmtId="0" fontId="10" fillId="34" borderId="53" xfId="0" applyFont="1" applyFill="1" applyBorder="1" applyAlignment="1">
      <alignment horizontal="left"/>
    </xf>
    <xf numFmtId="0" fontId="10" fillId="34" borderId="54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73" fontId="0" fillId="0" borderId="0" xfId="0" applyNumberFormat="1" applyBorder="1" applyAlignment="1">
      <alignment horizontal="left"/>
    </xf>
    <xf numFmtId="173" fontId="0" fillId="0" borderId="38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rgb="FFCCFFCC"/>
      </font>
      <fill>
        <patternFill>
          <bgColor rgb="FFCCFFCC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rgb="FFCCFFCC"/>
      </font>
      <fill>
        <patternFill>
          <bgColor rgb="FFCCFFCC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border>
        <right style="thin"/>
      </border>
    </dxf>
    <dxf>
      <font>
        <color rgb="FFCCFFCC"/>
      </font>
      <fill>
        <patternFill>
          <bgColor rgb="FFCCFFCC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border>
        <bottom style="thin"/>
      </border>
    </dxf>
    <dxf>
      <font>
        <color rgb="FFCCFFCC"/>
      </font>
      <fill>
        <patternFill>
          <bgColor rgb="FFCCFFCC"/>
        </patternFill>
      </fill>
    </dxf>
    <dxf>
      <border>
        <bottom style="thin"/>
      </border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fgColor rgb="FFCCFFCC"/>
        </patternFill>
      </fill>
    </dxf>
    <dxf>
      <font>
        <color rgb="FFCCFFCC"/>
      </font>
      <fill>
        <patternFill>
          <bgColor rgb="FFCCFFCC"/>
        </patternFill>
      </fill>
      <border>
        <left/>
        <right/>
        <top/>
        <bottom/>
      </border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border>
        <bottom style="thin">
          <color rgb="FF000000"/>
        </bottom>
      </border>
    </dxf>
    <dxf>
      <font>
        <color rgb="FFCCFFCC"/>
      </font>
      <fill>
        <patternFill>
          <bgColor rgb="FFCCFFCC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 style="thin">
          <color rgb="FF000000"/>
        </right>
      </border>
    </dxf>
    <dxf>
      <font>
        <color rgb="FFCCFFCC"/>
      </font>
      <fill>
        <patternFill>
          <bgColor rgb="FFCCFFCC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2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140625" style="6" customWidth="1"/>
    <col min="2" max="2" width="25.8515625" style="6" customWidth="1"/>
    <col min="3" max="3" width="116.7109375" style="6" bestFit="1" customWidth="1"/>
    <col min="4" max="16384" width="9.140625" style="6" customWidth="1"/>
  </cols>
  <sheetData>
    <row r="1" ht="23.25">
      <c r="C1" s="144" t="s">
        <v>178</v>
      </c>
    </row>
    <row r="2" ht="12.75">
      <c r="C2" s="6" t="s">
        <v>318</v>
      </c>
    </row>
    <row r="4" ht="12.75">
      <c r="B4" s="145" t="s">
        <v>153</v>
      </c>
    </row>
    <row r="5" ht="12.75">
      <c r="B5" s="217" t="s">
        <v>148</v>
      </c>
    </row>
    <row r="6" ht="12.75">
      <c r="B6" s="217" t="s">
        <v>149</v>
      </c>
    </row>
    <row r="7" ht="12.75">
      <c r="B7" s="217" t="s">
        <v>151</v>
      </c>
    </row>
    <row r="8" ht="12.75">
      <c r="B8" s="217" t="s">
        <v>150</v>
      </c>
    </row>
    <row r="9" ht="12.75">
      <c r="B9" s="217" t="s">
        <v>152</v>
      </c>
    </row>
    <row r="10" ht="12.75">
      <c r="B10" s="217" t="s">
        <v>265</v>
      </c>
    </row>
    <row r="11" ht="12.75">
      <c r="B11" s="217" t="s">
        <v>266</v>
      </c>
    </row>
    <row r="12" ht="12.75">
      <c r="B12" s="217" t="s">
        <v>267</v>
      </c>
    </row>
    <row r="13" ht="12.75">
      <c r="B13" s="217" t="s">
        <v>268</v>
      </c>
    </row>
    <row r="14" ht="12.75">
      <c r="B14" s="217" t="s">
        <v>269</v>
      </c>
    </row>
    <row r="15" ht="12.75">
      <c r="B15" s="217" t="s">
        <v>270</v>
      </c>
    </row>
    <row r="16" ht="12.75">
      <c r="B16" s="217" t="s">
        <v>271</v>
      </c>
    </row>
    <row r="17" ht="12.75">
      <c r="B17" s="217" t="s">
        <v>272</v>
      </c>
    </row>
    <row r="18" ht="12.75">
      <c r="B18" s="217" t="s">
        <v>273</v>
      </c>
    </row>
    <row r="19" ht="25.5" customHeight="1">
      <c r="B19" s="221" t="s">
        <v>315</v>
      </c>
    </row>
    <row r="20" ht="25.5" customHeight="1">
      <c r="B20" s="233" t="s">
        <v>316</v>
      </c>
    </row>
    <row r="21" ht="12.75">
      <c r="B21" s="146"/>
    </row>
    <row r="22" ht="12.75">
      <c r="C22" s="103" t="s">
        <v>157</v>
      </c>
    </row>
    <row r="23" ht="12.75">
      <c r="C23" s="8" t="s">
        <v>154</v>
      </c>
    </row>
    <row r="24" ht="12.75">
      <c r="C24" s="62" t="s">
        <v>10</v>
      </c>
    </row>
    <row r="25" ht="12.75">
      <c r="C25" s="4" t="s">
        <v>11</v>
      </c>
    </row>
    <row r="26" ht="12.75">
      <c r="C26" s="63" t="s">
        <v>12</v>
      </c>
    </row>
    <row r="27" ht="15.75">
      <c r="C27" s="64" t="s">
        <v>13</v>
      </c>
    </row>
  </sheetData>
  <sheetProtection/>
  <hyperlinks>
    <hyperlink ref="B5" location="'1-Critérios'!A1" display="Critérios"/>
    <hyperlink ref="B6" location="'2-Cenários'!A1" display="2 - Cenários"/>
    <hyperlink ref="B7" location="'3-População de Interesse'!A1" display="3 - População de Interesse"/>
    <hyperlink ref="B8" location="'4-Restrições - Demandas'!A1" display="4 - Restrições - Demandas"/>
    <hyperlink ref="B9" location="'5-Dinâmica da Doença'!A1" display="5 - Dinâmica da Doença"/>
    <hyperlink ref="B10" location="'6-Custos do Tratamento'!A1" display="6 - Custos"/>
    <hyperlink ref="B12" location="'8-AIO - Custo por Cenário'!A1" display="7 - AIO - Custo por Cenário"/>
    <hyperlink ref="B13" location="'9-Ajustes Econômicos'!A1" display="9 - Ajustes Econômicos"/>
    <hyperlink ref="B14" location="'10-Cenário de Referência'!A1" display="10 - Cenário de Referência"/>
    <hyperlink ref="B15" location="'11-Cenario 1'!A1" display="10 - Cenário 1"/>
    <hyperlink ref="B16" location="'12-Cenario 2'!A1" display="11 - Cenário 2"/>
    <hyperlink ref="B17" location="'13-Cenario 3'!A1" display="12 - Cenário 3"/>
    <hyperlink ref="B18" location="'14-IO Incremental'!A1" display="13 - IO Incremental"/>
    <hyperlink ref="B11" location="'7-Custos Evitados'!A1" display="7 - Custos Evitados"/>
    <hyperlink ref="B19" location="'15-Output para Impressão 1'!A1" display="15 - Output para Impressão"/>
    <hyperlink ref="B20" location="'16-Output para Impressão 2'!A1" display="16- Output para Impressão - com Custos Evitados"/>
  </hyperlink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B1">
      <selection activeCell="C12" sqref="C12"/>
    </sheetView>
  </sheetViews>
  <sheetFormatPr defaultColWidth="9.140625" defaultRowHeight="12.75"/>
  <cols>
    <col min="1" max="1" width="9.140625" style="6" customWidth="1"/>
    <col min="2" max="2" width="21.7109375" style="6" customWidth="1"/>
    <col min="3" max="3" width="11.7109375" style="6" customWidth="1"/>
    <col min="4" max="4" width="20.28125" style="6" customWidth="1"/>
    <col min="5" max="5" width="22.421875" style="6" customWidth="1"/>
    <col min="6" max="6" width="32.28125" style="6" customWidth="1"/>
    <col min="7" max="8" width="9.140625" style="6" customWidth="1"/>
    <col min="9" max="10" width="9.140625" style="6" hidden="1" customWidth="1"/>
    <col min="11" max="16384" width="9.140625" style="6" customWidth="1"/>
  </cols>
  <sheetData>
    <row r="1" spans="1:10" ht="12.75">
      <c r="A1" s="7" t="s">
        <v>153</v>
      </c>
      <c r="I1" s="148" t="str">
        <f>'1-Critérios'!C21</f>
        <v>Rótulo Cenário Alternativo 1</v>
      </c>
      <c r="J1" s="148" t="str">
        <f>'1-Critérios'!C22</f>
        <v>Rótulo Cenário Alternativo 1</v>
      </c>
    </row>
    <row r="2" spans="1:10" ht="12.75">
      <c r="A2" s="7"/>
      <c r="B2" s="14" t="s">
        <v>218</v>
      </c>
      <c r="I2" s="148"/>
      <c r="J2" s="148"/>
    </row>
    <row r="3" ht="12.75">
      <c r="B3" s="14" t="s">
        <v>76</v>
      </c>
    </row>
    <row r="5" spans="2:5" ht="12.75">
      <c r="B5" s="6" t="s">
        <v>77</v>
      </c>
      <c r="C5" s="110">
        <v>0</v>
      </c>
      <c r="E5" s="14"/>
    </row>
    <row r="6" spans="2:3" ht="12.75">
      <c r="B6" s="6" t="s">
        <v>78</v>
      </c>
      <c r="C6" s="111">
        <v>0</v>
      </c>
    </row>
    <row r="7" spans="2:3" ht="12.75">
      <c r="B7" s="6" t="s">
        <v>79</v>
      </c>
      <c r="C7" s="111">
        <v>0</v>
      </c>
    </row>
    <row r="8" spans="2:3" ht="12.75">
      <c r="B8" s="6" t="s">
        <v>80</v>
      </c>
      <c r="C8" s="111">
        <v>0</v>
      </c>
    </row>
    <row r="9" spans="2:3" ht="12.75">
      <c r="B9" s="6" t="s">
        <v>81</v>
      </c>
      <c r="C9" s="112">
        <v>0</v>
      </c>
    </row>
    <row r="10" ht="12.75">
      <c r="C10" s="34"/>
    </row>
    <row r="11" spans="2:3" ht="12.75">
      <c r="B11" s="6" t="s">
        <v>82</v>
      </c>
      <c r="C11" s="113">
        <v>0</v>
      </c>
    </row>
    <row r="14" spans="2:6" ht="12.75">
      <c r="B14" s="35" t="s">
        <v>132</v>
      </c>
      <c r="C14" s="36"/>
      <c r="D14" s="36"/>
      <c r="E14" s="36"/>
      <c r="F14" s="37"/>
    </row>
    <row r="15" spans="2:6" ht="12.75">
      <c r="B15" s="38"/>
      <c r="C15" s="26" t="s">
        <v>114</v>
      </c>
      <c r="D15" s="26" t="s">
        <v>83</v>
      </c>
      <c r="E15" s="26" t="s">
        <v>84</v>
      </c>
      <c r="F15" s="39" t="s">
        <v>85</v>
      </c>
    </row>
    <row r="16" spans="2:6" ht="12.75">
      <c r="B16" s="38" t="s">
        <v>86</v>
      </c>
      <c r="C16" s="108">
        <f>'8-AIO - Custo por Cenário'!C8</f>
        <v>0</v>
      </c>
      <c r="D16" s="40">
        <f>IF('1-Critérios'!$C$16="Não",C16,(C16+(C16*$C$5)*0.5))</f>
        <v>0</v>
      </c>
      <c r="E16" s="40">
        <f>IF('1-Critérios'!$C$16="Não",C16,(C16-(C16*$C$11*0.5)))</f>
        <v>0</v>
      </c>
      <c r="F16" s="41">
        <f>IF('1-Critérios'!$C$16="Não",C16,C16+(C16*$C$5*0.5)-(C16*$C$11*0.5))</f>
        <v>0</v>
      </c>
    </row>
    <row r="17" spans="2:10" ht="12.75">
      <c r="B17" s="38" t="s">
        <v>87</v>
      </c>
      <c r="C17" s="108">
        <f>IF(2&lt;='1-Critérios'!$C$15,'8-AIO - Custo por Cenário'!C8,0)</f>
        <v>0</v>
      </c>
      <c r="D17" s="40">
        <f>IF(2&lt;='1-Critérios'!$C$15,IF('1-Critérios'!$C$16="Não",D16+D16*$C$5,(D16+(D16*$C$6)*0.5)),0)</f>
        <v>0</v>
      </c>
      <c r="E17" s="40">
        <f>IF(2&lt;='1-Critérios'!$C$15,IF('1-Critérios'!$C$16="Não",E16-E16*$C$11,E16-E16*$C$11*0.5),0)</f>
        <v>0</v>
      </c>
      <c r="F17" s="41">
        <f>IF(2&lt;='1-Critérios'!$C$15,IF('1-Critérios'!$C$16="Não",F16+F16*$C$5-F16*$C$11,F16+F16*$C$6*0.5-F16*$C$11*0.5),0)</f>
        <v>0</v>
      </c>
      <c r="I17" s="148"/>
      <c r="J17" s="148"/>
    </row>
    <row r="18" spans="2:6" ht="12.75">
      <c r="B18" s="38" t="s">
        <v>88</v>
      </c>
      <c r="C18" s="108">
        <f>IF(3&lt;='1-Critérios'!$C$15,'8-AIO - Custo por Cenário'!C8,0)</f>
        <v>0</v>
      </c>
      <c r="D18" s="40">
        <f>IF(3&lt;='1-Critérios'!$C$15,IF('1-Critérios'!$C$16="Não",D17+D17*$C$6,(D17+(D17*$C$7)*0.5)),0)</f>
        <v>0</v>
      </c>
      <c r="E18" s="40">
        <f>IF(3&lt;='1-Critérios'!$C$15,IF('1-Critérios'!$C$16="Não",E17-E17*$C$11,E17-E17*$C$11*0.5),0)</f>
        <v>0</v>
      </c>
      <c r="F18" s="41">
        <f>IF(3&lt;='1-Critérios'!$C$15,IF('1-Critérios'!$C$16="Não",F17+F17*$C$6-F17*$C$11,F17+F17*$C$7*0.5-F17*$C$11*0.5),0)</f>
        <v>0</v>
      </c>
    </row>
    <row r="19" spans="2:6" ht="12.75">
      <c r="B19" s="38" t="s">
        <v>89</v>
      </c>
      <c r="C19" s="108">
        <f>IF(4&lt;='1-Critérios'!$C$15,'8-AIO - Custo por Cenário'!C8,0)</f>
        <v>0</v>
      </c>
      <c r="D19" s="40">
        <f>IF(4&lt;='1-Critérios'!$C$15,IF('1-Critérios'!$C$16="Não",D18+D18*$C$7,(D18+(D18*$C$8)*0.5)),0)</f>
        <v>0</v>
      </c>
      <c r="E19" s="40">
        <f>IF(4&lt;='1-Critérios'!$C$15,IF('1-Critérios'!$C$16="Não",E18-E18*$C$11,E18-E18*$C$11*0.5),0)</f>
        <v>0</v>
      </c>
      <c r="F19" s="41">
        <f>IF(4&lt;='1-Critérios'!$C$15,IF('1-Critérios'!$C$16="Não",F18+F18*$C$7-F18*$C$11,F18+F18*$C$8*0.5-F18*$C$11*0.5),0)</f>
        <v>0</v>
      </c>
    </row>
    <row r="20" spans="2:6" ht="12.75">
      <c r="B20" s="42" t="s">
        <v>90</v>
      </c>
      <c r="C20" s="109">
        <f>IF(5&lt;='1-Critérios'!$C$15,'8-AIO - Custo por Cenário'!C8,0)</f>
        <v>0</v>
      </c>
      <c r="D20" s="43">
        <f>IF(5&lt;='1-Critérios'!$C$15,IF('1-Critérios'!$C$16="Não",D19+D19*$C$8,(D19+(D19*$C$9)*0.5)),0)</f>
        <v>0</v>
      </c>
      <c r="E20" s="43">
        <f>IF(5&lt;='1-Critérios'!$C$15,IF('1-Critérios'!$C$16="Não",E19-E19*$C$11,E19-E19*$C$11*0.5),0)</f>
        <v>0</v>
      </c>
      <c r="F20" s="44">
        <f>IF(5&lt;='1-Critérios'!$C$15,IF('1-Critérios'!$C$16="Não",F19+F19*$C$8-F19*$C$11,F19+F19*$C$9*0.5-F19*$C$11*0.5),0)</f>
        <v>0</v>
      </c>
    </row>
    <row r="22" spans="2:6" ht="12.75">
      <c r="B22" s="35" t="s">
        <v>133</v>
      </c>
      <c r="C22" s="36"/>
      <c r="D22" s="36"/>
      <c r="E22" s="36"/>
      <c r="F22" s="37"/>
    </row>
    <row r="23" spans="2:6" ht="12.75">
      <c r="B23" s="38"/>
      <c r="C23" s="26" t="s">
        <v>114</v>
      </c>
      <c r="D23" s="26" t="s">
        <v>83</v>
      </c>
      <c r="E23" s="26" t="s">
        <v>84</v>
      </c>
      <c r="F23" s="39" t="s">
        <v>85</v>
      </c>
    </row>
    <row r="24" spans="2:6" ht="12.75">
      <c r="B24" s="38" t="s">
        <v>86</v>
      </c>
      <c r="C24" s="108">
        <f>'8-AIO - Custo por Cenário'!C16</f>
        <v>0</v>
      </c>
      <c r="D24" s="40">
        <f>IF('1-Critérios'!$C$16="Não",C24,(C24+(C24*$C$5)*0.5))</f>
        <v>0</v>
      </c>
      <c r="E24" s="40">
        <f>IF('1-Critérios'!$C$16="Não",C24,(C24-(C24*$C$11*0.5)))</f>
        <v>0</v>
      </c>
      <c r="F24" s="41">
        <f>IF('1-Critérios'!$C$16="Não",C24,C24+(C24*$C$5*0.5)-(C24*$C$11*0.5))</f>
        <v>0</v>
      </c>
    </row>
    <row r="25" spans="2:6" ht="12.75">
      <c r="B25" s="38" t="s">
        <v>87</v>
      </c>
      <c r="C25" s="108">
        <f>IF(2&lt;='1-Critérios'!$C$15,'8-AIO - Custo por Cenário'!C18,0)</f>
        <v>0</v>
      </c>
      <c r="D25" s="40">
        <f>IF(2&lt;='1-Critérios'!$C$15,IF('1-Critérios'!$C$16="Não",'8-AIO - Custo por Cenário'!C18*(1+C$5),('8-AIO - Custo por Cenário'!C18*(1+C$5)*(1+C$6*0.5))),0)</f>
        <v>0</v>
      </c>
      <c r="E25" s="40">
        <f>IF(2&lt;='1-Critérios'!$C$15,IF('1-Critérios'!$C$16="Não",'8-AIO - Custo por Cenário'!C18*(1-C$11),('8-AIO - Custo por Cenário'!C18*(1-C$11)*(1-C$11*0.5))),0)</f>
        <v>0</v>
      </c>
      <c r="F25" s="41">
        <f>IF(2&lt;='1-Critérios'!$C$15,IF('1-Critérios'!$C$16="Não",'8-AIO - Custo por Cenário'!C18*(1+C$5)*(1-C$11),'8-AIO - Custo por Cenário'!C18*(1+C$5)*(1-C$11)*(1+C$6*0.5)*(1-C$11*0.5)),0)</f>
        <v>0</v>
      </c>
    </row>
    <row r="26" spans="2:6" ht="12.75">
      <c r="B26" s="38" t="s">
        <v>88</v>
      </c>
      <c r="C26" s="108">
        <f>IF(3&lt;='1-Critérios'!$C$15,'8-AIO - Custo por Cenário'!C20,0)</f>
        <v>0</v>
      </c>
      <c r="D26" s="40">
        <f>IF(3&lt;='1-Critérios'!$C$15,IF('1-Critérios'!$C$16="Não",'8-AIO - Custo por Cenário'!C20*(1+C$5)*(1+C$6),('8-AIO - Custo por Cenário'!C20*(1+C$5)*(1+C$6)*(1+C$7*0.5))),0)</f>
        <v>0</v>
      </c>
      <c r="E26" s="40">
        <f>IF(3&lt;='1-Critérios'!$C$15,IF('1-Critérios'!$C$16="Não",'8-AIO - Custo por Cenário'!C20*(1-C$11)^2,('8-AIO - Custo por Cenário'!C20*(1-C$11)^2*(1-C$11*0.5))),0)</f>
        <v>0</v>
      </c>
      <c r="F26" s="41">
        <f>IF(3&lt;='1-Critérios'!$C$15,IF('1-Critérios'!$C$16="Não",'8-AIO - Custo por Cenário'!C20*(1+C$5)*(1+C$6)*(1-C$11)^2,'8-AIO - Custo por Cenário'!C20*(1+C$5)*(1+C$6)*(1-C$11)^2*(1+C$7*0.5)*(1-C$11*0.5)),0)</f>
        <v>0</v>
      </c>
    </row>
    <row r="27" spans="2:6" ht="12.75">
      <c r="B27" s="38" t="s">
        <v>89</v>
      </c>
      <c r="C27" s="108">
        <f>IF(4&lt;='1-Critérios'!$C$15,'8-AIO - Custo por Cenário'!C22,0)</f>
        <v>0</v>
      </c>
      <c r="D27" s="40">
        <f>IF(4&lt;='1-Critérios'!$C$15,IF('1-Critérios'!$C$16="Não",'8-AIO - Custo por Cenário'!C22*(1+C$5)*(1+C$6)*(1+C$7),('8-AIO - Custo por Cenário'!C22*(1+C$5)*(1+C$6)*(1+C$7)*(1+C$8*0.5))),0)</f>
        <v>0</v>
      </c>
      <c r="E27" s="40">
        <f>IF(4&lt;='1-Critérios'!$C$15,IF('1-Critérios'!$C$16="Não",'8-AIO - Custo por Cenário'!C22*(1-C$11)^3,('8-AIO - Custo por Cenário'!C22*(1-C$11)^3*(1-C$11*0.5))),0)</f>
        <v>0</v>
      </c>
      <c r="F27" s="41">
        <f>IF(4&lt;='1-Critérios'!$C$15,IF('1-Critérios'!$C$16="Não",'8-AIO - Custo por Cenário'!C22*(1+C$5)*(1+C$6)*(1+C$7)*(1-C$11)^3,'8-AIO - Custo por Cenário'!C22*(1+C$5)*(1+C$6)*(1+C$7)*(1-C$11)^3*(1+C$8*0.5)*(1-C$11*0.5)),0)</f>
        <v>0</v>
      </c>
    </row>
    <row r="28" spans="2:6" ht="12.75">
      <c r="B28" s="42" t="s">
        <v>90</v>
      </c>
      <c r="C28" s="109">
        <f>IF(5&lt;='1-Critérios'!$C$15,'8-AIO - Custo por Cenário'!C24,0)</f>
        <v>0</v>
      </c>
      <c r="D28" s="43">
        <f>IF(5&lt;='1-Critérios'!$C$15,IF('1-Critérios'!$C$16="Não",'8-AIO - Custo por Cenário'!C24*(1+C$5)*(1+C$6)*(1+C$7)*(1+C$8),('8-AIO - Custo por Cenário'!C24*(1+C$5)*(1+C$6)*(1+C$7)*(1+C$8)*(1+C$9*0.5))),0)</f>
        <v>0</v>
      </c>
      <c r="E28" s="43">
        <f>IF(5&lt;='1-Critérios'!$C$15,IF('1-Critérios'!$C$16="Não",'8-AIO - Custo por Cenário'!C24*(1-C$11)^4,('8-AIO - Custo por Cenário'!C24*(1-C$11)^4*(1-C$11*0.5))),0)</f>
        <v>0</v>
      </c>
      <c r="F28" s="44">
        <f>IF(5&lt;='1-Critérios'!$C$15,IF('1-Critérios'!$C$16="Não",'8-AIO - Custo por Cenário'!C24*(1+C$5)*(1+C$6)*(1+C$7)*(1+C$8)*(1-C$11)^4,'8-AIO - Custo por Cenário'!C24*(1+C$5)*(1+C$6)*(1+C$7)*(1+C$8)*(1-C$11)^4*(1+C$9*0.5)*(1-C$11*0.5)),0)</f>
        <v>0</v>
      </c>
    </row>
    <row r="30" spans="2:6" ht="12.75">
      <c r="B30" s="35" t="s">
        <v>134</v>
      </c>
      <c r="C30" s="36"/>
      <c r="D30" s="36"/>
      <c r="E30" s="36"/>
      <c r="F30" s="37"/>
    </row>
    <row r="31" spans="2:6" ht="12.75">
      <c r="B31" s="38"/>
      <c r="C31" s="26" t="s">
        <v>114</v>
      </c>
      <c r="D31" s="26" t="s">
        <v>83</v>
      </c>
      <c r="E31" s="26" t="s">
        <v>84</v>
      </c>
      <c r="F31" s="39" t="s">
        <v>85</v>
      </c>
    </row>
    <row r="32" spans="2:6" ht="12.75">
      <c r="B32" s="38" t="s">
        <v>86</v>
      </c>
      <c r="C32" s="108">
        <f>'8-AIO - Custo por Cenário'!C32</f>
        <v>0</v>
      </c>
      <c r="D32" s="40">
        <f>IF('1-Critérios'!$C$16="Não",C32,(C32+(C32*$C$5)*0.5))</f>
        <v>0</v>
      </c>
      <c r="E32" s="40">
        <f>IF('1-Critérios'!$C$16="Não",C32,(C32-(C32*$C$11*0.5)))</f>
        <v>0</v>
      </c>
      <c r="F32" s="41">
        <f>IF('1-Critérios'!$C$16="Não",C32,C32+(C32*$C$5*0.5)-(C32*$C$11*0.5))</f>
        <v>0</v>
      </c>
    </row>
    <row r="33" spans="2:6" ht="12.75">
      <c r="B33" s="38" t="s">
        <v>87</v>
      </c>
      <c r="C33" s="108">
        <f>IF(2&lt;='1-Critérios'!$C$15,'8-AIO - Custo por Cenário'!C34,0)</f>
        <v>0</v>
      </c>
      <c r="D33" s="40">
        <f>IF(2&lt;='1-Critérios'!$C$15,IF('1-Critérios'!$C$16="Não",'8-AIO - Custo por Cenário'!C34*(1+C$5),('8-AIO - Custo por Cenário'!C34*(1+C$5)*(1+C$6*0.5))),0)</f>
        <v>0</v>
      </c>
      <c r="E33" s="40">
        <f>IF(2&lt;='1-Critérios'!$C$15,IF('1-Critérios'!$C$16="Não",'8-AIO - Custo por Cenário'!C34*(1-C$11),('8-AIO - Custo por Cenário'!C34*(1-C$11)*(1-C$11*0.5))),0)</f>
        <v>0</v>
      </c>
      <c r="F33" s="41">
        <f>IF(2&lt;='1-Critérios'!$C$15,IF('1-Critérios'!$C$16="Não",'8-AIO - Custo por Cenário'!C34*(1+C$5)*(1-C$11),'8-AIO - Custo por Cenário'!C34*(1+C$5)*(1-C$11)*(1+C$6*0.5)*(1-C$11*0.5)),0)</f>
        <v>0</v>
      </c>
    </row>
    <row r="34" spans="2:6" ht="12.75">
      <c r="B34" s="38" t="s">
        <v>88</v>
      </c>
      <c r="C34" s="108">
        <f>IF(3&lt;='1-Critérios'!$C$15,'8-AIO - Custo por Cenário'!C36,0)</f>
        <v>0</v>
      </c>
      <c r="D34" s="40">
        <f>IF(3&lt;='1-Critérios'!$C$15,IF('1-Critérios'!$C$16="Não",'8-AIO - Custo por Cenário'!C36*(1+C$5)*(1+C$6),('8-AIO - Custo por Cenário'!C36*(1+C$5)*(1+C$6)*(1+C$7*0.5))),0)</f>
        <v>0</v>
      </c>
      <c r="E34" s="40">
        <f>IF(3&lt;='1-Critérios'!$C$15,IF('1-Critérios'!$C$16="Não",'8-AIO - Custo por Cenário'!C36*(1-C$11)^2,('8-AIO - Custo por Cenário'!C36*(1-C$11)^2*(1-C$11*0.5))),0)</f>
        <v>0</v>
      </c>
      <c r="F34" s="41">
        <f>IF(3&lt;='1-Critérios'!$C$15,IF('1-Critérios'!$C$16="Não",'8-AIO - Custo por Cenário'!C36*(1+C$5)*(1+C$6)*(1-C$11)^2,'8-AIO - Custo por Cenário'!C36*(1+C$5)*(1+C$6)*(1-C$11)^2*(1+C$7*0.5)*(1-C$11*0.5)),0)</f>
        <v>0</v>
      </c>
    </row>
    <row r="35" spans="2:6" ht="12.75">
      <c r="B35" s="38" t="s">
        <v>89</v>
      </c>
      <c r="C35" s="108">
        <f>IF(4&lt;='1-Critérios'!$C$15,'8-AIO - Custo por Cenário'!C38,0)</f>
        <v>0</v>
      </c>
      <c r="D35" s="40">
        <f>IF(4&lt;='1-Critérios'!$C$15,IF('1-Critérios'!$C$16="Não",'8-AIO - Custo por Cenário'!C38*(1+C$5)*(1+C$6)*(1+C$7),('8-AIO - Custo por Cenário'!C38*(1+C$5)*(1+C$6)*(1+C$7)*(1+C$8*0.5))),0)</f>
        <v>0</v>
      </c>
      <c r="E35" s="40">
        <f>IF(4&lt;='1-Critérios'!$C$15,IF('1-Critérios'!$C$16="Não",'8-AIO - Custo por Cenário'!C38*(1-C$11)^3,('8-AIO - Custo por Cenário'!C38*(1-C$11)^3*(1-C$11*0.5))),0)</f>
        <v>0</v>
      </c>
      <c r="F35" s="41">
        <f>IF(4&lt;='1-Critérios'!$C$15,IF('1-Critérios'!$C$16="Não",'8-AIO - Custo por Cenário'!C38*(1+C$5)*(1+C$6)*(1+C$7)*(1-C$11)^3,'8-AIO - Custo por Cenário'!C38*(1+C$5)*(1+C$6)*(1+C$7)*(1-C$11)^3*(1+C$8*0.5)*(1-C$11*0.5)),0)</f>
        <v>0</v>
      </c>
    </row>
    <row r="36" spans="2:6" ht="12.75">
      <c r="B36" s="42" t="s">
        <v>90</v>
      </c>
      <c r="C36" s="109">
        <f>IF(5&lt;='1-Critérios'!$C$15,'8-AIO - Custo por Cenário'!C40,0)</f>
        <v>0</v>
      </c>
      <c r="D36" s="43">
        <f>IF(5&lt;='1-Critérios'!$C$15,IF('1-Critérios'!$C$16="Não",'8-AIO - Custo por Cenário'!C40*(1+C$5)*(1+C$6)*(1+C$7)*(1+C$8),('8-AIO - Custo por Cenário'!C40*(1+C$5)*(1+C$6)*(1+C$7)*(1+C$8)*(1+C$9*0.5))),0)</f>
        <v>0</v>
      </c>
      <c r="E36" s="43">
        <f>IF(5&lt;='1-Critérios'!$C$15,IF('1-Critérios'!$C$16="Não",'8-AIO - Custo por Cenário'!C40*(1-C$11)^4,('8-AIO - Custo por Cenário'!C40*(1-C$11)^4*(1-C$11*0.5))),0)</f>
        <v>0</v>
      </c>
      <c r="F36" s="44">
        <f>IF(5&lt;='1-Critérios'!$C$15,IF('1-Critérios'!$C$16="Não",'8-AIO - Custo por Cenário'!C40*(1+C$5)*(1+C$6)*(1+C$7)*(1+C$8)*(1-C$11)^4,'8-AIO - Custo por Cenário'!C40*(1+C$5)*(1+C$6)*(1+C$7)*(1+C$8)*(1-C$11)^4*(1+C$9*0.5)*(1-C$11*0.5)),0)</f>
        <v>0</v>
      </c>
    </row>
    <row r="38" spans="2:6" ht="12.75">
      <c r="B38" s="35" t="s">
        <v>135</v>
      </c>
      <c r="C38" s="36"/>
      <c r="D38" s="36"/>
      <c r="E38" s="36"/>
      <c r="F38" s="37"/>
    </row>
    <row r="39" spans="2:6" ht="12.75">
      <c r="B39" s="38"/>
      <c r="C39" s="26" t="s">
        <v>114</v>
      </c>
      <c r="D39" s="26" t="s">
        <v>83</v>
      </c>
      <c r="E39" s="26" t="s">
        <v>84</v>
      </c>
      <c r="F39" s="39" t="s">
        <v>85</v>
      </c>
    </row>
    <row r="40" spans="2:6" ht="12.75">
      <c r="B40" s="38" t="s">
        <v>86</v>
      </c>
      <c r="C40" s="108">
        <f>'8-AIO - Custo por Cenário'!C48</f>
        <v>0</v>
      </c>
      <c r="D40" s="40">
        <f>IF('1-Critérios'!$C$16="Não",C40,(C40+(C40*$C$5)*0.5))</f>
        <v>0</v>
      </c>
      <c r="E40" s="40">
        <f>IF('1-Critérios'!$C$16="Não",C40,(C40-(C40*$C$11*0.5)))</f>
        <v>0</v>
      </c>
      <c r="F40" s="41">
        <f>IF('1-Critérios'!$C$16="Não",C40,C40+(C40*$C$5*0.5)-(C40*$C$11*0.5))</f>
        <v>0</v>
      </c>
    </row>
    <row r="41" spans="2:6" ht="12.75">
      <c r="B41" s="38" t="s">
        <v>87</v>
      </c>
      <c r="C41" s="108">
        <f>IF(2&lt;='1-Critérios'!$C$15,'8-AIO - Custo por Cenário'!C50,0)</f>
        <v>0</v>
      </c>
      <c r="D41" s="40">
        <f>IF(2&lt;='1-Critérios'!$C$15,IF('1-Critérios'!$C$16="Não",'8-AIO - Custo por Cenário'!C50*(1+C$5),('8-AIO - Custo por Cenário'!C50*(1+C$5)*(1+C$6*0.5))),0)</f>
        <v>0</v>
      </c>
      <c r="E41" s="40">
        <f>IF(2&lt;='1-Critérios'!$C$15,IF('1-Critérios'!$C$16="Não",'8-AIO - Custo por Cenário'!C50*(1-C$11),('8-AIO - Custo por Cenário'!C50*(1-C$11)*(1-C$11*0.5))),0)</f>
        <v>0</v>
      </c>
      <c r="F41" s="41">
        <f>IF(2&lt;='1-Critérios'!$C$15,IF('1-Critérios'!$C$16="Não",'8-AIO - Custo por Cenário'!C50*(1+C$5)*(1-C$11),'8-AIO - Custo por Cenário'!C50*(1+C$5)*(1-C$11)*(1+C$6*0.5)*(1-C$11*0.5)),0)</f>
        <v>0</v>
      </c>
    </row>
    <row r="42" spans="2:6" ht="12.75">
      <c r="B42" s="38" t="s">
        <v>88</v>
      </c>
      <c r="C42" s="108">
        <f>IF(3&lt;='1-Critérios'!$C$15,'8-AIO - Custo por Cenário'!C52,0)</f>
        <v>0</v>
      </c>
      <c r="D42" s="40">
        <f>IF(3&lt;='1-Critérios'!$C$15,IF('1-Critérios'!$C$16="Não",'8-AIO - Custo por Cenário'!C52*(1+C$5)*(1+C$6),('8-AIO - Custo por Cenário'!C52*(1+C$5)*(1+C$6)*(1+C$7*0.5))),0)</f>
        <v>0</v>
      </c>
      <c r="E42" s="40">
        <f>IF(3&lt;='1-Critérios'!$C$15,IF('1-Critérios'!$C$16="Não",'8-AIO - Custo por Cenário'!C52*(1-C$11)^2,('8-AIO - Custo por Cenário'!C52*(1-C$11)^2*(1-C$11*0.5))),0)</f>
        <v>0</v>
      </c>
      <c r="F42" s="41">
        <f>IF(3&lt;='1-Critérios'!$C$15,IF('1-Critérios'!$C$16="Não",'8-AIO - Custo por Cenário'!C52*(1+C$5)*(1+C$6)*(1-C$11)^2,'8-AIO - Custo por Cenário'!C52*(1+C$5)*(1+C$6)*(1-C$11)^2*(1+C$7*0.5)*(1-C$11*0.5)),0)</f>
        <v>0</v>
      </c>
    </row>
    <row r="43" spans="2:6" ht="12.75">
      <c r="B43" s="38" t="s">
        <v>89</v>
      </c>
      <c r="C43" s="108">
        <f>IF(4&lt;='1-Critérios'!$C$15,'8-AIO - Custo por Cenário'!C54,0)</f>
        <v>0</v>
      </c>
      <c r="D43" s="40">
        <f>IF(4&lt;='1-Critérios'!$C$15,IF('1-Critérios'!$C$16="Não",'8-AIO - Custo por Cenário'!C54*(1+C$5)*(1+C$6)*(1+C$7),('8-AIO - Custo por Cenário'!C54*(1+C$5)*(1+C$6)*(1+C$7)*(1+C$8*0.5))),0)</f>
        <v>0</v>
      </c>
      <c r="E43" s="40">
        <f>IF(4&lt;='1-Critérios'!$C$15,IF('1-Critérios'!$C$16="Não",'8-AIO - Custo por Cenário'!C54*(1-C$11)^3,('8-AIO - Custo por Cenário'!C54*(1-C$11)^3*(1-C$11*0.5))),0)</f>
        <v>0</v>
      </c>
      <c r="F43" s="41">
        <f>IF(4&lt;='1-Critérios'!$C$15,IF('1-Critérios'!$C$16="Não",'8-AIO - Custo por Cenário'!C54*(1+C$5)*(1+C$6)*(1+C$7)*(1-C$11)^3,'8-AIO - Custo por Cenário'!C54*(1+C$5)*(1+C$6)*(1+C$7)*(1-C$11)^3*(1+C$8*0.5)*(1-C$11*0.5)),0)</f>
        <v>0</v>
      </c>
    </row>
    <row r="44" spans="2:6" ht="12.75">
      <c r="B44" s="42" t="s">
        <v>90</v>
      </c>
      <c r="C44" s="109">
        <f>IF(5&lt;='1-Critérios'!$C$15,'8-AIO - Custo por Cenário'!C56,0)</f>
        <v>0</v>
      </c>
      <c r="D44" s="43">
        <f>IF(5&lt;='1-Critérios'!$C$15,IF('1-Critérios'!$C$16="Não",'8-AIO - Custo por Cenário'!C56*(1+C$5)*(1+C$6)*(1+C$7)*(1+C$8),('8-AIO - Custo por Cenário'!C56*(1+C$5)*(1+C$6)*(1+C$7)*(1+C$8)*(1+C$9*0.5))),0)</f>
        <v>0</v>
      </c>
      <c r="E44" s="43">
        <f>IF(5&lt;='1-Critérios'!$C$15,IF('1-Critérios'!$C$16="Não",'8-AIO - Custo por Cenário'!C56*(1-C$11)^4,('8-AIO - Custo por Cenário'!C56*(1-C$11)^4*(1-C$11*0.5))),0)</f>
        <v>0</v>
      </c>
      <c r="F44" s="44">
        <f>IF(5&lt;='1-Critérios'!$C$15,IF('1-Critérios'!$C$16="Não",'8-AIO - Custo por Cenário'!C56*(1+C$5)*(1+C$6)*(1+C$7)*(1+C$8)*(1-C$11)^4,'8-AIO - Custo por Cenário'!C56*(1+C$5)*(1+C$6)*(1+C$7)*(1+C$8)*(1-C$11)^4*(1+C$9*0.5)*(1-C$11*0.5)),0)</f>
        <v>0</v>
      </c>
    </row>
  </sheetData>
  <sheetProtection/>
  <conditionalFormatting sqref="C32:C36 D32:F32">
    <cfRule type="expression" priority="2" dxfId="8" stopIfTrue="1">
      <formula>$I$1=0</formula>
    </cfRule>
  </conditionalFormatting>
  <conditionalFormatting sqref="C40:C44 D40:F40">
    <cfRule type="expression" priority="1" dxfId="8" stopIfTrue="1">
      <formula>$J$1=0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9.140625" style="6" customWidth="1"/>
    <col min="2" max="2" width="42.421875" style="6" customWidth="1"/>
    <col min="3" max="3" width="23.8515625" style="6" customWidth="1"/>
    <col min="4" max="4" width="3.00390625" style="6" customWidth="1"/>
    <col min="5" max="5" width="42.421875" style="6" customWidth="1"/>
    <col min="6" max="6" width="21.00390625" style="6" bestFit="1" customWidth="1"/>
    <col min="7" max="7" width="3.7109375" style="6" customWidth="1"/>
    <col min="8" max="8" width="43.00390625" style="6" customWidth="1"/>
    <col min="9" max="9" width="17.8515625" style="6" customWidth="1"/>
    <col min="10" max="16384" width="9.140625" style="6" customWidth="1"/>
  </cols>
  <sheetData>
    <row r="1" ht="12.75">
      <c r="A1" s="7" t="s">
        <v>153</v>
      </c>
    </row>
    <row r="2" spans="2:5" ht="18">
      <c r="B2" s="45" t="s">
        <v>161</v>
      </c>
      <c r="C2" s="46"/>
      <c r="D2" s="17"/>
      <c r="E2" s="17"/>
    </row>
    <row r="3" ht="13.5" thickBot="1"/>
    <row r="4" spans="2:9" ht="15">
      <c r="B4" s="47" t="s">
        <v>21</v>
      </c>
      <c r="C4" s="24"/>
      <c r="E4" s="47" t="s">
        <v>22</v>
      </c>
      <c r="F4" s="24"/>
      <c r="H4" s="47" t="s">
        <v>23</v>
      </c>
      <c r="I4" s="24"/>
    </row>
    <row r="5" spans="2:9" ht="12.75">
      <c r="B5" s="25" t="s">
        <v>91</v>
      </c>
      <c r="C5" s="114" t="e">
        <f>'4-Restrições - Demandas'!C19</f>
        <v>#VALUE!</v>
      </c>
      <c r="E5" s="25" t="s">
        <v>91</v>
      </c>
      <c r="F5" s="114" t="e">
        <f>C8</f>
        <v>#VALUE!</v>
      </c>
      <c r="H5" s="25" t="s">
        <v>91</v>
      </c>
      <c r="I5" s="114" t="e">
        <f>F8</f>
        <v>#VALUE!</v>
      </c>
    </row>
    <row r="6" spans="2:9" ht="12.75">
      <c r="B6" s="48" t="s">
        <v>146</v>
      </c>
      <c r="C6" s="115">
        <f>'5-Dinâmica da Doença'!C5</f>
        <v>0</v>
      </c>
      <c r="E6" s="48" t="s">
        <v>146</v>
      </c>
      <c r="F6" s="115">
        <f>C6</f>
        <v>0</v>
      </c>
      <c r="H6" s="48" t="s">
        <v>146</v>
      </c>
      <c r="I6" s="115">
        <f>C6</f>
        <v>0</v>
      </c>
    </row>
    <row r="7" spans="2:9" ht="12.75">
      <c r="B7" s="25" t="s">
        <v>93</v>
      </c>
      <c r="C7" s="115">
        <f>'5-Dinâmica da Doença'!E12</f>
        <v>0</v>
      </c>
      <c r="E7" s="25" t="s">
        <v>93</v>
      </c>
      <c r="F7" s="115">
        <f>C7</f>
        <v>0</v>
      </c>
      <c r="H7" s="25" t="s">
        <v>93</v>
      </c>
      <c r="I7" s="115">
        <f>C7</f>
        <v>0</v>
      </c>
    </row>
    <row r="8" spans="2:9" ht="12.75">
      <c r="B8" s="48" t="s">
        <v>122</v>
      </c>
      <c r="C8" s="49" t="e">
        <f>C5+C5*C6*0.5-C5*C7</f>
        <v>#VALUE!</v>
      </c>
      <c r="E8" s="48" t="s">
        <v>123</v>
      </c>
      <c r="F8" s="49" t="e">
        <f>F5+F5*F6*0.5-F5*F7</f>
        <v>#VALUE!</v>
      </c>
      <c r="H8" s="48" t="s">
        <v>124</v>
      </c>
      <c r="I8" s="49" t="e">
        <f>I5+I5*I6*0.5-I5*I7</f>
        <v>#VALUE!</v>
      </c>
    </row>
    <row r="9" spans="2:9" ht="12.75">
      <c r="B9" s="48" t="s">
        <v>97</v>
      </c>
      <c r="C9" s="116">
        <f>'9-Ajustes Econômicos'!F16</f>
        <v>0</v>
      </c>
      <c r="E9" s="25" t="s">
        <v>98</v>
      </c>
      <c r="F9" s="205">
        <f>'9-Ajustes Econômicos'!F17</f>
        <v>0</v>
      </c>
      <c r="H9" s="25" t="s">
        <v>99</v>
      </c>
      <c r="I9" s="205">
        <f>'9-Ajustes Econômicos'!F18</f>
        <v>0</v>
      </c>
    </row>
    <row r="10" spans="2:9" ht="12.75">
      <c r="B10" s="25" t="s">
        <v>100</v>
      </c>
      <c r="C10" s="50" t="e">
        <f>C8*'9-Ajustes Econômicos'!C16</f>
        <v>#VALUE!</v>
      </c>
      <c r="E10" s="25" t="s">
        <v>101</v>
      </c>
      <c r="F10" s="50" t="e">
        <f>F8*'9-Ajustes Econômicos'!C17</f>
        <v>#VALUE!</v>
      </c>
      <c r="H10" s="25" t="s">
        <v>100</v>
      </c>
      <c r="I10" s="50" t="e">
        <f>I8*'9-Ajustes Econômicos'!C18</f>
        <v>#VALUE!</v>
      </c>
    </row>
    <row r="11" spans="2:9" ht="12.75">
      <c r="B11" s="48" t="s">
        <v>346</v>
      </c>
      <c r="C11" s="50" t="e">
        <f>C8*'9-Ajustes Econômicos'!D16</f>
        <v>#VALUE!</v>
      </c>
      <c r="E11" s="48" t="s">
        <v>346</v>
      </c>
      <c r="F11" s="50" t="e">
        <f>F8*'9-Ajustes Econômicos'!D17</f>
        <v>#VALUE!</v>
      </c>
      <c r="H11" s="48" t="s">
        <v>346</v>
      </c>
      <c r="I11" s="50" t="e">
        <f>I8*'9-Ajustes Econômicos'!D18</f>
        <v>#VALUE!</v>
      </c>
    </row>
    <row r="12" spans="2:9" ht="12.75">
      <c r="B12" s="25" t="s">
        <v>103</v>
      </c>
      <c r="C12" s="50" t="e">
        <f>C8*'9-Ajustes Econômicos'!E16</f>
        <v>#VALUE!</v>
      </c>
      <c r="E12" s="25" t="s">
        <v>103</v>
      </c>
      <c r="F12" s="50" t="e">
        <f>F8*'9-Ajustes Econômicos'!E17</f>
        <v>#VALUE!</v>
      </c>
      <c r="H12" s="25" t="s">
        <v>103</v>
      </c>
      <c r="I12" s="50" t="e">
        <f>I8*'9-Ajustes Econômicos'!E18</f>
        <v>#VALUE!</v>
      </c>
    </row>
    <row r="13" spans="2:9" ht="13.5" thickBot="1">
      <c r="B13" s="51" t="s">
        <v>104</v>
      </c>
      <c r="C13" s="52" t="e">
        <f>C8*'9-Ajustes Econômicos'!F16</f>
        <v>#VALUE!</v>
      </c>
      <c r="E13" s="51" t="s">
        <v>104</v>
      </c>
      <c r="F13" s="52" t="e">
        <f>F8*'9-Ajustes Econômicos'!F17</f>
        <v>#VALUE!</v>
      </c>
      <c r="H13" s="51" t="s">
        <v>104</v>
      </c>
      <c r="I13" s="52" t="e">
        <f>I8*'9-Ajustes Econômicos'!F18</f>
        <v>#VALUE!</v>
      </c>
    </row>
    <row r="15" spans="2:6" ht="15">
      <c r="B15" s="47" t="s">
        <v>24</v>
      </c>
      <c r="C15" s="24"/>
      <c r="E15" s="47" t="s">
        <v>25</v>
      </c>
      <c r="F15" s="24"/>
    </row>
    <row r="16" spans="2:6" ht="12.75">
      <c r="B16" s="25" t="s">
        <v>91</v>
      </c>
      <c r="C16" s="114" t="e">
        <f>I8</f>
        <v>#VALUE!</v>
      </c>
      <c r="E16" s="25" t="s">
        <v>91</v>
      </c>
      <c r="F16" s="114" t="e">
        <f>C19</f>
        <v>#VALUE!</v>
      </c>
    </row>
    <row r="17" spans="2:6" ht="12.75">
      <c r="B17" s="48" t="s">
        <v>146</v>
      </c>
      <c r="C17" s="115">
        <f>C6</f>
        <v>0</v>
      </c>
      <c r="E17" s="48" t="s">
        <v>146</v>
      </c>
      <c r="F17" s="115">
        <f>C6</f>
        <v>0</v>
      </c>
    </row>
    <row r="18" spans="2:6" ht="12.75">
      <c r="B18" s="25" t="s">
        <v>93</v>
      </c>
      <c r="C18" s="115">
        <f>C7</f>
        <v>0</v>
      </c>
      <c r="E18" s="25" t="s">
        <v>93</v>
      </c>
      <c r="F18" s="115">
        <f>C7</f>
        <v>0</v>
      </c>
    </row>
    <row r="19" spans="2:6" ht="12.75">
      <c r="B19" s="48" t="s">
        <v>125</v>
      </c>
      <c r="C19" s="49" t="e">
        <f>C16+C16*C17*0.5-C16*C18</f>
        <v>#VALUE!</v>
      </c>
      <c r="E19" s="48" t="s">
        <v>126</v>
      </c>
      <c r="F19" s="49" t="e">
        <f>F16+F16*F17*0.5-F16*F18</f>
        <v>#VALUE!</v>
      </c>
    </row>
    <row r="20" spans="2:6" ht="12.75">
      <c r="B20" s="25" t="s">
        <v>107</v>
      </c>
      <c r="C20" s="205">
        <f>'9-Ajustes Econômicos'!F19</f>
        <v>0</v>
      </c>
      <c r="E20" s="25" t="s">
        <v>108</v>
      </c>
      <c r="F20" s="205">
        <f>'9-Ajustes Econômicos'!F20</f>
        <v>0</v>
      </c>
    </row>
    <row r="21" spans="2:6" ht="12.75">
      <c r="B21" s="25" t="s">
        <v>100</v>
      </c>
      <c r="C21" s="50" t="e">
        <f>C19*'9-Ajustes Econômicos'!C19</f>
        <v>#VALUE!</v>
      </c>
      <c r="E21" s="25" t="s">
        <v>100</v>
      </c>
      <c r="F21" s="50" t="e">
        <f>F19*'9-Ajustes Econômicos'!C20</f>
        <v>#VALUE!</v>
      </c>
    </row>
    <row r="22" spans="2:6" ht="12.75">
      <c r="B22" s="48" t="s">
        <v>346</v>
      </c>
      <c r="C22" s="50" t="e">
        <f>C19*'9-Ajustes Econômicos'!D19</f>
        <v>#VALUE!</v>
      </c>
      <c r="E22" s="48" t="s">
        <v>346</v>
      </c>
      <c r="F22" s="50" t="e">
        <f>F19*'9-Ajustes Econômicos'!D20</f>
        <v>#VALUE!</v>
      </c>
    </row>
    <row r="23" spans="2:6" ht="12.75">
      <c r="B23" s="25" t="s">
        <v>103</v>
      </c>
      <c r="C23" s="50" t="e">
        <f>C19*'9-Ajustes Econômicos'!E19</f>
        <v>#VALUE!</v>
      </c>
      <c r="E23" s="25" t="s">
        <v>103</v>
      </c>
      <c r="F23" s="50" t="e">
        <f>F19*'9-Ajustes Econômicos'!E20</f>
        <v>#VALUE!</v>
      </c>
    </row>
    <row r="24" spans="2:6" ht="13.5" thickBot="1">
      <c r="B24" s="51" t="s">
        <v>104</v>
      </c>
      <c r="C24" s="52" t="e">
        <f>C19*'9-Ajustes Econômicos'!F19</f>
        <v>#VALUE!</v>
      </c>
      <c r="E24" s="51" t="s">
        <v>104</v>
      </c>
      <c r="F24" s="52" t="e">
        <f>F19*'9-Ajustes Econômicos'!F20</f>
        <v>#VALUE!</v>
      </c>
    </row>
    <row r="26" ht="12.75">
      <c r="B26" s="26" t="s">
        <v>109</v>
      </c>
    </row>
    <row r="27" ht="12.75">
      <c r="B27" s="53" t="s">
        <v>110</v>
      </c>
    </row>
    <row r="28" ht="13.5" thickBot="1"/>
    <row r="29" spans="2:6" ht="15.75">
      <c r="B29" s="243" t="s">
        <v>118</v>
      </c>
      <c r="C29" s="244"/>
      <c r="D29" s="244"/>
      <c r="E29" s="244"/>
      <c r="F29" s="245"/>
    </row>
    <row r="30" spans="2:6" ht="12.75">
      <c r="B30" s="246"/>
      <c r="C30" s="247"/>
      <c r="D30" s="247"/>
      <c r="E30" s="247"/>
      <c r="F30" s="248"/>
    </row>
    <row r="31" spans="2:6" ht="15.75">
      <c r="B31" s="239" t="s">
        <v>139</v>
      </c>
      <c r="C31" s="240"/>
      <c r="D31" s="240"/>
      <c r="E31" s="240"/>
      <c r="F31" s="55" t="e">
        <f>C10+F10+I10+C21+F21</f>
        <v>#VALUE!</v>
      </c>
    </row>
    <row r="32" spans="2:6" ht="15.75">
      <c r="B32" s="239" t="s">
        <v>136</v>
      </c>
      <c r="C32" s="240"/>
      <c r="D32" s="240"/>
      <c r="E32" s="240"/>
      <c r="F32" s="55" t="e">
        <f>C11+F11+I11+C22+F22</f>
        <v>#VALUE!</v>
      </c>
    </row>
    <row r="33" spans="2:6" ht="15.75">
      <c r="B33" s="239" t="s">
        <v>137</v>
      </c>
      <c r="C33" s="240"/>
      <c r="D33" s="240"/>
      <c r="E33" s="240"/>
      <c r="F33" s="55" t="e">
        <f>C12+F12+I12+C23+F23</f>
        <v>#VALUE!</v>
      </c>
    </row>
    <row r="34" spans="2:6" ht="16.5" thickBot="1">
      <c r="B34" s="241" t="s">
        <v>138</v>
      </c>
      <c r="C34" s="242"/>
      <c r="D34" s="242"/>
      <c r="E34" s="242"/>
      <c r="F34" s="56" t="e">
        <f>C13+F13+I13+C24+F24</f>
        <v>#VALUE!</v>
      </c>
    </row>
  </sheetData>
  <sheetProtection/>
  <mergeCells count="6">
    <mergeCell ref="B33:E33"/>
    <mergeCell ref="B34:E34"/>
    <mergeCell ref="B29:F29"/>
    <mergeCell ref="B30:F30"/>
    <mergeCell ref="B31:E31"/>
    <mergeCell ref="B32:E32"/>
  </mergeCells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8"/>
  <sheetViews>
    <sheetView zoomScale="90" zoomScaleNormal="90" zoomScalePageLayoutView="0" workbookViewId="0" topLeftCell="A37">
      <selection activeCell="H56" sqref="H56"/>
    </sheetView>
  </sheetViews>
  <sheetFormatPr defaultColWidth="9.140625" defaultRowHeight="12.75"/>
  <cols>
    <col min="1" max="1" width="9.140625" style="6" customWidth="1"/>
    <col min="2" max="2" width="50.421875" style="6" customWidth="1"/>
    <col min="3" max="3" width="23.8515625" style="6" customWidth="1"/>
    <col min="4" max="4" width="3.00390625" style="6" customWidth="1"/>
    <col min="5" max="5" width="52.00390625" style="6" bestFit="1" customWidth="1"/>
    <col min="6" max="6" width="23.00390625" style="6" customWidth="1"/>
    <col min="7" max="7" width="3.7109375" style="6" customWidth="1"/>
    <col min="8" max="8" width="52.00390625" style="6" bestFit="1" customWidth="1"/>
    <col min="9" max="9" width="17.8515625" style="6" customWidth="1"/>
    <col min="10" max="16384" width="9.140625" style="6" customWidth="1"/>
  </cols>
  <sheetData>
    <row r="1" ht="12.75">
      <c r="A1" s="7" t="s">
        <v>153</v>
      </c>
    </row>
    <row r="2" spans="2:5" ht="18">
      <c r="B2" s="45" t="s">
        <v>158</v>
      </c>
      <c r="C2" s="117" t="str">
        <f>'1-Critérios'!C20</f>
        <v>Rótulo Cenário Alternativo 1</v>
      </c>
      <c r="D2" s="17"/>
      <c r="E2" s="17"/>
    </row>
    <row r="3" ht="13.5" thickBot="1"/>
    <row r="4" spans="2:9" ht="15">
      <c r="B4" s="47" t="s">
        <v>21</v>
      </c>
      <c r="C4" s="24"/>
      <c r="E4" s="47" t="s">
        <v>22</v>
      </c>
      <c r="F4" s="24"/>
      <c r="H4" s="47" t="s">
        <v>23</v>
      </c>
      <c r="I4" s="24"/>
    </row>
    <row r="5" spans="2:9" ht="12.75">
      <c r="B5" s="25" t="s">
        <v>91</v>
      </c>
      <c r="C5" s="114" t="e">
        <f>'4-Restrições - Demandas'!C19</f>
        <v>#VALUE!</v>
      </c>
      <c r="E5" s="25" t="s">
        <v>91</v>
      </c>
      <c r="F5" s="114" t="e">
        <f>C8</f>
        <v>#VALUE!</v>
      </c>
      <c r="H5" s="25" t="s">
        <v>91</v>
      </c>
      <c r="I5" s="114" t="e">
        <f>F8</f>
        <v>#VALUE!</v>
      </c>
    </row>
    <row r="6" spans="2:9" ht="12.75">
      <c r="B6" s="25" t="s">
        <v>92</v>
      </c>
      <c r="C6" s="115">
        <f>'5-Dinâmica da Doença'!C5</f>
        <v>0</v>
      </c>
      <c r="E6" s="25" t="s">
        <v>92</v>
      </c>
      <c r="F6" s="115">
        <f>C6</f>
        <v>0</v>
      </c>
      <c r="H6" s="25" t="s">
        <v>92</v>
      </c>
      <c r="I6" s="115">
        <f>C6</f>
        <v>0</v>
      </c>
    </row>
    <row r="7" spans="2:9" ht="12.75">
      <c r="B7" s="25" t="s">
        <v>281</v>
      </c>
      <c r="C7" s="115">
        <f>'5-Dinâmica da Doença'!E12</f>
        <v>0</v>
      </c>
      <c r="E7" s="25" t="s">
        <v>281</v>
      </c>
      <c r="F7" s="115">
        <f>C7</f>
        <v>0</v>
      </c>
      <c r="H7" s="25" t="s">
        <v>281</v>
      </c>
      <c r="I7" s="115">
        <f>C7</f>
        <v>0</v>
      </c>
    </row>
    <row r="8" spans="2:9" ht="12.75">
      <c r="B8" s="25" t="s">
        <v>94</v>
      </c>
      <c r="C8" s="49" t="e">
        <f>C5+C5*C6-C5*C7</f>
        <v>#VALUE!</v>
      </c>
      <c r="E8" s="25" t="s">
        <v>95</v>
      </c>
      <c r="F8" s="49" t="e">
        <f>F5+F5*F6-F5*F7</f>
        <v>#VALUE!</v>
      </c>
      <c r="H8" s="25" t="s">
        <v>96</v>
      </c>
      <c r="I8" s="49" t="e">
        <f>I5+I5*I6-I5*I7</f>
        <v>#VALUE!</v>
      </c>
    </row>
    <row r="9" spans="2:9" ht="12.75">
      <c r="B9" s="25" t="s">
        <v>282</v>
      </c>
      <c r="C9" s="205">
        <f>'9-Ajustes Econômicos'!F24</f>
        <v>0</v>
      </c>
      <c r="E9" s="25" t="s">
        <v>283</v>
      </c>
      <c r="F9" s="205">
        <f>'9-Ajustes Econômicos'!F25</f>
        <v>0</v>
      </c>
      <c r="H9" s="25" t="s">
        <v>284</v>
      </c>
      <c r="I9" s="205">
        <f>'9-Ajustes Econômicos'!F26</f>
        <v>0</v>
      </c>
    </row>
    <row r="10" spans="2:9" ht="12.75">
      <c r="B10" s="25" t="s">
        <v>285</v>
      </c>
      <c r="C10" s="50" t="e">
        <f>C8*'9-Ajustes Econômicos'!C24</f>
        <v>#VALUE!</v>
      </c>
      <c r="E10" s="25" t="s">
        <v>285</v>
      </c>
      <c r="F10" s="50" t="e">
        <f>F8*'9-Ajustes Econômicos'!C25</f>
        <v>#VALUE!</v>
      </c>
      <c r="H10" s="25" t="s">
        <v>285</v>
      </c>
      <c r="I10" s="50" t="e">
        <f>I8*'9-Ajustes Econômicos'!C26</f>
        <v>#VALUE!</v>
      </c>
    </row>
    <row r="11" spans="2:9" ht="12.75">
      <c r="B11" s="48" t="s">
        <v>346</v>
      </c>
      <c r="C11" s="50" t="e">
        <f>C8*'9-Ajustes Econômicos'!D24</f>
        <v>#VALUE!</v>
      </c>
      <c r="E11" s="48" t="s">
        <v>346</v>
      </c>
      <c r="F11" s="50" t="e">
        <f>F8*'9-Ajustes Econômicos'!D25</f>
        <v>#VALUE!</v>
      </c>
      <c r="H11" s="48" t="s">
        <v>346</v>
      </c>
      <c r="I11" s="50" t="e">
        <f>I8*'9-Ajustes Econômicos'!D26</f>
        <v>#VALUE!</v>
      </c>
    </row>
    <row r="12" spans="2:9" ht="12.75">
      <c r="B12" s="25" t="s">
        <v>103</v>
      </c>
      <c r="C12" s="50" t="e">
        <f>C8*'9-Ajustes Econômicos'!E24</f>
        <v>#VALUE!</v>
      </c>
      <c r="E12" s="25" t="s">
        <v>103</v>
      </c>
      <c r="F12" s="50" t="e">
        <f>F8*'9-Ajustes Econômicos'!E25</f>
        <v>#VALUE!</v>
      </c>
      <c r="H12" s="25" t="s">
        <v>103</v>
      </c>
      <c r="I12" s="50" t="e">
        <f>I8*'9-Ajustes Econômicos'!E26</f>
        <v>#VALUE!</v>
      </c>
    </row>
    <row r="13" spans="2:9" ht="12.75">
      <c r="B13" s="51" t="s">
        <v>104</v>
      </c>
      <c r="C13" s="52" t="e">
        <f>C8*'9-Ajustes Econômicos'!F24</f>
        <v>#VALUE!</v>
      </c>
      <c r="E13" s="51" t="s">
        <v>104</v>
      </c>
      <c r="F13" s="52" t="e">
        <f>F8*'9-Ajustes Econômicos'!F25</f>
        <v>#VALUE!</v>
      </c>
      <c r="H13" s="51" t="s">
        <v>104</v>
      </c>
      <c r="I13" s="52" t="e">
        <f>I8*'9-Ajustes Econômicos'!F26</f>
        <v>#VALUE!</v>
      </c>
    </row>
    <row r="15" spans="2:6" ht="15">
      <c r="B15" s="47" t="s">
        <v>24</v>
      </c>
      <c r="C15" s="24"/>
      <c r="E15" s="47" t="s">
        <v>25</v>
      </c>
      <c r="F15" s="24"/>
    </row>
    <row r="16" spans="2:6" ht="12.75">
      <c r="B16" s="25" t="s">
        <v>91</v>
      </c>
      <c r="C16" s="114" t="e">
        <f>I8</f>
        <v>#VALUE!</v>
      </c>
      <c r="E16" s="25" t="s">
        <v>91</v>
      </c>
      <c r="F16" s="114" t="e">
        <f>C19</f>
        <v>#VALUE!</v>
      </c>
    </row>
    <row r="17" spans="2:6" ht="12.75">
      <c r="B17" s="25" t="s">
        <v>92</v>
      </c>
      <c r="C17" s="115">
        <f>C6</f>
        <v>0</v>
      </c>
      <c r="E17" s="25" t="s">
        <v>92</v>
      </c>
      <c r="F17" s="115">
        <f>C6</f>
        <v>0</v>
      </c>
    </row>
    <row r="18" spans="2:6" ht="12.75">
      <c r="B18" s="25" t="s">
        <v>281</v>
      </c>
      <c r="C18" s="115">
        <f>C7</f>
        <v>0</v>
      </c>
      <c r="E18" s="25" t="s">
        <v>281</v>
      </c>
      <c r="F18" s="115">
        <f>C7</f>
        <v>0</v>
      </c>
    </row>
    <row r="19" spans="2:6" ht="12.75">
      <c r="B19" s="25" t="s">
        <v>105</v>
      </c>
      <c r="C19" s="49" t="e">
        <f>C16+C16*C17-C16*C18</f>
        <v>#VALUE!</v>
      </c>
      <c r="E19" s="25" t="s">
        <v>106</v>
      </c>
      <c r="F19" s="49" t="e">
        <f>F16+F16*F17-F16*F18</f>
        <v>#VALUE!</v>
      </c>
    </row>
    <row r="20" spans="2:6" ht="12.75">
      <c r="B20" s="25" t="s">
        <v>286</v>
      </c>
      <c r="C20" s="205">
        <f>'9-Ajustes Econômicos'!F27</f>
        <v>0</v>
      </c>
      <c r="E20" s="25" t="s">
        <v>287</v>
      </c>
      <c r="F20" s="205">
        <f>'9-Ajustes Econômicos'!F28</f>
        <v>0</v>
      </c>
    </row>
    <row r="21" spans="2:6" ht="12.75">
      <c r="B21" s="25" t="s">
        <v>285</v>
      </c>
      <c r="C21" s="50" t="e">
        <f>C19*'9-Ajustes Econômicos'!C27</f>
        <v>#VALUE!</v>
      </c>
      <c r="E21" s="25" t="s">
        <v>285</v>
      </c>
      <c r="F21" s="50" t="e">
        <f>F19*'9-Ajustes Econômicos'!C28</f>
        <v>#VALUE!</v>
      </c>
    </row>
    <row r="22" spans="2:6" ht="12.75">
      <c r="B22" s="48" t="s">
        <v>346</v>
      </c>
      <c r="C22" s="50" t="e">
        <f>C19*'9-Ajustes Econômicos'!D27</f>
        <v>#VALUE!</v>
      </c>
      <c r="E22" s="48" t="s">
        <v>346</v>
      </c>
      <c r="F22" s="50" t="e">
        <f>F19*'9-Ajustes Econômicos'!D28</f>
        <v>#VALUE!</v>
      </c>
    </row>
    <row r="23" spans="2:6" ht="12.75">
      <c r="B23" s="25" t="s">
        <v>103</v>
      </c>
      <c r="C23" s="50" t="e">
        <f>C19*'9-Ajustes Econômicos'!E27</f>
        <v>#VALUE!</v>
      </c>
      <c r="E23" s="25" t="s">
        <v>103</v>
      </c>
      <c r="F23" s="50" t="e">
        <f>F19*'9-Ajustes Econômicos'!E28</f>
        <v>#VALUE!</v>
      </c>
    </row>
    <row r="24" spans="2:6" ht="12.75">
      <c r="B24" s="51" t="s">
        <v>104</v>
      </c>
      <c r="C24" s="52" t="e">
        <f>C19*'9-Ajustes Econômicos'!F27</f>
        <v>#VALUE!</v>
      </c>
      <c r="E24" s="51" t="s">
        <v>104</v>
      </c>
      <c r="F24" s="52" t="e">
        <f>F19*'9-Ajustes Econômicos'!F28</f>
        <v>#VALUE!</v>
      </c>
    </row>
    <row r="26" ht="12.75">
      <c r="B26" s="53" t="s">
        <v>109</v>
      </c>
    </row>
    <row r="27" ht="12.75">
      <c r="B27" s="53" t="s">
        <v>110</v>
      </c>
    </row>
    <row r="28" ht="13.5" thickBot="1"/>
    <row r="29" spans="2:6" ht="15.75">
      <c r="B29" s="243" t="s">
        <v>118</v>
      </c>
      <c r="C29" s="244"/>
      <c r="D29" s="244"/>
      <c r="E29" s="244"/>
      <c r="F29" s="245"/>
    </row>
    <row r="30" spans="2:6" ht="12.75">
      <c r="B30" s="246"/>
      <c r="C30" s="247"/>
      <c r="D30" s="247"/>
      <c r="E30" s="247"/>
      <c r="F30" s="248"/>
    </row>
    <row r="31" spans="2:6" ht="15.75">
      <c r="B31" s="239" t="s">
        <v>139</v>
      </c>
      <c r="C31" s="240"/>
      <c r="D31" s="240"/>
      <c r="E31" s="240"/>
      <c r="F31" s="55" t="e">
        <f>C10+F10+I10+C21+F21</f>
        <v>#VALUE!</v>
      </c>
    </row>
    <row r="32" spans="2:6" ht="15.75">
      <c r="B32" s="239" t="s">
        <v>136</v>
      </c>
      <c r="C32" s="240"/>
      <c r="D32" s="240"/>
      <c r="E32" s="240"/>
      <c r="F32" s="55" t="e">
        <f>C11+F11+I11+C22+F22</f>
        <v>#VALUE!</v>
      </c>
    </row>
    <row r="33" spans="2:6" ht="15.75">
      <c r="B33" s="239" t="s">
        <v>137</v>
      </c>
      <c r="C33" s="240"/>
      <c r="D33" s="240"/>
      <c r="E33" s="240"/>
      <c r="F33" s="55" t="e">
        <f>C12+F12+I12+C23+F23</f>
        <v>#VALUE!</v>
      </c>
    </row>
    <row r="34" spans="2:6" ht="15.75">
      <c r="B34" s="239" t="s">
        <v>138</v>
      </c>
      <c r="C34" s="240"/>
      <c r="D34" s="240"/>
      <c r="E34" s="240"/>
      <c r="F34" s="55" t="e">
        <f>C13+F13+I13+C24+F24</f>
        <v>#VALUE!</v>
      </c>
    </row>
    <row r="35" spans="2:6" ht="15.75">
      <c r="B35" s="239" t="s">
        <v>140</v>
      </c>
      <c r="C35" s="240"/>
      <c r="D35" s="240"/>
      <c r="E35" s="240"/>
      <c r="F35" s="55" t="e">
        <f>F31-'10-Cenário de Referência'!F31</f>
        <v>#VALUE!</v>
      </c>
    </row>
    <row r="36" spans="2:6" ht="15.75">
      <c r="B36" s="54" t="s">
        <v>141</v>
      </c>
      <c r="C36" s="57"/>
      <c r="D36" s="57"/>
      <c r="E36" s="57"/>
      <c r="F36" s="55" t="e">
        <f>F32-'10-Cenário de Referência'!F32</f>
        <v>#VALUE!</v>
      </c>
    </row>
    <row r="37" spans="2:9" ht="15.75">
      <c r="B37" s="239" t="s">
        <v>142</v>
      </c>
      <c r="C37" s="240"/>
      <c r="D37" s="240"/>
      <c r="E37" s="240"/>
      <c r="F37" s="55" t="e">
        <f>F33-'10-Cenário de Referência'!F33</f>
        <v>#VALUE!</v>
      </c>
      <c r="I37" s="26"/>
    </row>
    <row r="38" spans="2:6" ht="16.5" thickBot="1">
      <c r="B38" s="241" t="s">
        <v>143</v>
      </c>
      <c r="C38" s="242"/>
      <c r="D38" s="242"/>
      <c r="E38" s="242"/>
      <c r="F38" s="56" t="e">
        <f>F34-'10-Cenário de Referência'!F34</f>
        <v>#VALUE!</v>
      </c>
    </row>
    <row r="41" ht="12.75">
      <c r="E41" s="148"/>
    </row>
    <row r="42" spans="2:5" ht="18">
      <c r="B42" s="45" t="s">
        <v>280</v>
      </c>
      <c r="E42" s="219" t="str">
        <f>'1-Critérios'!C20</f>
        <v>Rótulo Cenário Alternativo 1</v>
      </c>
    </row>
    <row r="43" ht="13.5" thickBot="1"/>
    <row r="44" spans="2:9" ht="15">
      <c r="B44" s="47" t="s">
        <v>21</v>
      </c>
      <c r="C44" s="24"/>
      <c r="E44" s="47" t="s">
        <v>22</v>
      </c>
      <c r="F44" s="24"/>
      <c r="H44" s="47" t="s">
        <v>23</v>
      </c>
      <c r="I44" s="24"/>
    </row>
    <row r="45" spans="2:9" ht="12.75">
      <c r="B45" s="25" t="s">
        <v>91</v>
      </c>
      <c r="C45" s="114" t="e">
        <f>'4-Restrições - Demandas'!C19</f>
        <v>#VALUE!</v>
      </c>
      <c r="E45" s="25" t="s">
        <v>91</v>
      </c>
      <c r="F45" s="114" t="e">
        <f>C48</f>
        <v>#VALUE!</v>
      </c>
      <c r="H45" s="25" t="s">
        <v>91</v>
      </c>
      <c r="I45" s="114" t="e">
        <f>F48</f>
        <v>#VALUE!</v>
      </c>
    </row>
    <row r="46" spans="2:9" ht="12.75">
      <c r="B46" s="25" t="s">
        <v>92</v>
      </c>
      <c r="C46" s="115">
        <f>'5-Dinâmica da Doença'!C5</f>
        <v>0</v>
      </c>
      <c r="E46" s="25" t="s">
        <v>92</v>
      </c>
      <c r="F46" s="115">
        <f>C46</f>
        <v>0</v>
      </c>
      <c r="H46" s="25" t="s">
        <v>92</v>
      </c>
      <c r="I46" s="115">
        <f>C46</f>
        <v>0</v>
      </c>
    </row>
    <row r="47" spans="2:9" ht="12.75">
      <c r="B47" s="25" t="s">
        <v>281</v>
      </c>
      <c r="C47" s="115">
        <f>'5-Dinâmica da Doença'!E12</f>
        <v>0</v>
      </c>
      <c r="E47" s="25" t="s">
        <v>281</v>
      </c>
      <c r="F47" s="115">
        <f>C47</f>
        <v>0</v>
      </c>
      <c r="H47" s="25" t="s">
        <v>281</v>
      </c>
      <c r="I47" s="115">
        <f>C47</f>
        <v>0</v>
      </c>
    </row>
    <row r="48" spans="2:9" ht="12.75">
      <c r="B48" s="25" t="s">
        <v>94</v>
      </c>
      <c r="C48" s="49" t="e">
        <f>C45+C45*C46-C45*C47</f>
        <v>#VALUE!</v>
      </c>
      <c r="E48" s="25" t="s">
        <v>95</v>
      </c>
      <c r="F48" s="49" t="e">
        <f>F45+F45*F46-F45*F47</f>
        <v>#VALUE!</v>
      </c>
      <c r="H48" s="25" t="s">
        <v>96</v>
      </c>
      <c r="I48" s="49" t="e">
        <f>I45+I45*I46-I45*I47</f>
        <v>#VALUE!</v>
      </c>
    </row>
    <row r="49" spans="2:9" ht="12.75">
      <c r="B49" s="25" t="s">
        <v>282</v>
      </c>
      <c r="C49" s="205">
        <f>'9-Ajustes Econômicos'!F24</f>
        <v>0</v>
      </c>
      <c r="E49" s="25" t="s">
        <v>283</v>
      </c>
      <c r="F49" s="205">
        <f>'9-Ajustes Econômicos'!F25</f>
        <v>0</v>
      </c>
      <c r="H49" s="25" t="s">
        <v>284</v>
      </c>
      <c r="I49" s="205">
        <f>'9-Ajustes Econômicos'!F26</f>
        <v>0</v>
      </c>
    </row>
    <row r="50" spans="2:9" ht="12.75">
      <c r="B50" s="25" t="s">
        <v>285</v>
      </c>
      <c r="C50" s="50" t="e">
        <f>C8*'9-Ajustes Econômicos'!C24-(C8*'2-Cenários'!D24)*('7-Custos Evitados'!E15/1000)</f>
        <v>#VALUE!</v>
      </c>
      <c r="E50" s="25" t="s">
        <v>285</v>
      </c>
      <c r="F50" s="50" t="e">
        <f>IF('1-Critérios'!C15&lt;2,0,F8*'9-Ajustes Econômicos'!C25-(F48*'2-Cenários'!D25)*('7-Custos Evitados'!E15/1000))</f>
        <v>#VALUE!</v>
      </c>
      <c r="H50" s="25" t="s">
        <v>285</v>
      </c>
      <c r="I50" s="50" t="e">
        <f>IF('1-Critérios'!C15&lt;3,0,I48*'9-Ajustes Econômicos'!C26-(I48*'2-Cenários'!D26)*('7-Custos Evitados'!E15/1000))</f>
        <v>#VALUE!</v>
      </c>
    </row>
    <row r="51" spans="2:9" ht="12.75">
      <c r="B51" s="48" t="s">
        <v>346</v>
      </c>
      <c r="C51" s="50" t="e">
        <f>IF('1-Critérios'!$C$16="Não",C8*'9-Ajustes Econômicos'!D24-(C8*'2-Cenários'!D24)*('7-Custos Evitados'!E15/1000),C8*'9-Ajustes Econômicos'!D24-(C8*'2-Cenários'!D24)*('7-Custos Evitados'!E15/1000)*(1+'9-Ajustes Econômicos'!C5+0.5))</f>
        <v>#VALUE!</v>
      </c>
      <c r="E51" s="48" t="s">
        <v>346</v>
      </c>
      <c r="F51" s="50" t="e">
        <f>IF('1-Critérios'!C15&lt;2,0,IF('1-Critérios'!$C$16="Não",F8*'9-Ajustes Econômicos'!D25-(F48*'2-Cenários'!D25)*('7-Custos Evitados'!E15/1000)*(1+'9-Ajustes Econômicos'!C5),F8*'9-Ajustes Econômicos'!D25-(F48*'2-Cenários'!D25)*('7-Custos Evitados'!E15/1000)*(1+'9-Ajustes Econômicos'!C5)*(1+'9-Ajustes Econômicos'!C6*0.5)))</f>
        <v>#VALUE!</v>
      </c>
      <c r="H51" s="48" t="s">
        <v>346</v>
      </c>
      <c r="I51" s="50" t="e">
        <f>IF('1-Critérios'!C15&lt;3,0,IF('1-Critérios'!$C$16="Não",I48*'9-Ajustes Econômicos'!D26-(I48*'2-Cenários'!D26)*('7-Custos Evitados'!E15/1000)*(1+'9-Ajustes Econômicos'!C5)*(1+'9-Ajustes Econômicos'!C6),I48*'9-Ajustes Econômicos'!D26-(I48*'2-Cenários'!D26)*('7-Custos Evitados'!E15/1000)*(1+'9-Ajustes Econômicos'!C5)*(1+'9-Ajustes Econômicos'!C6)*(1+'9-Ajustes Econômicos'!C7*0.5)))</f>
        <v>#VALUE!</v>
      </c>
    </row>
    <row r="52" spans="2:9" ht="12.75">
      <c r="B52" s="25" t="s">
        <v>103</v>
      </c>
      <c r="C52" s="50" t="e">
        <f>IF('1-Critérios'!$C$16="Não",C8*'9-Ajustes Econômicos'!E24-(C8*'2-Cenários'!D24)*('7-Custos Evitados'!E15/1000),C8*'9-Ajustes Econômicos'!E24-(C8*'2-Cenários'!D24)*('7-Custos Evitados'!E15/1000)*(1-'9-Ajustes Econômicos'!C11*0.5))</f>
        <v>#VALUE!</v>
      </c>
      <c r="E52" s="25" t="s">
        <v>103</v>
      </c>
      <c r="F52" s="50" t="e">
        <f>IF('1-Critérios'!C15&lt;2,0,IF('1-Critérios'!$C$16="Não",F8*'9-Ajustes Econômicos'!E25-(F48*'2-Cenários'!D25)*('7-Custos Evitados'!E15/1000)*(1-'9-Ajustes Econômicos'!C11),F8*'9-Ajustes Econômicos'!E25-(F48*'2-Cenários'!D25)*('7-Custos Evitados'!E15/1000)*(1-'9-Ajustes Econômicos'!C11)*(1-'9-Ajustes Econômicos'!C11*0.5)))</f>
        <v>#VALUE!</v>
      </c>
      <c r="H52" s="25" t="s">
        <v>103</v>
      </c>
      <c r="I52" s="50" t="e">
        <f>IF('1-Critérios'!C15&lt;3,0,IF('1-Critérios'!$C$16="Não",I48*'9-Ajustes Econômicos'!E26-(I48*'2-Cenários'!D26)*('7-Custos Evitados'!E15/1000)*(1-'9-Ajustes Econômicos'!C11)^2,I48*'9-Ajustes Econômicos'!E26-(I48*'2-Cenários'!D26)*('7-Custos Evitados'!E15/1000)*(1-'9-Ajustes Econômicos'!C11)^2*(1-'9-Ajustes Econômicos'!C11*0.5)))</f>
        <v>#VALUE!</v>
      </c>
    </row>
    <row r="53" spans="2:9" ht="13.5" thickBot="1">
      <c r="B53" s="51" t="s">
        <v>104</v>
      </c>
      <c r="C53" s="52" t="e">
        <f>IF('1-Critérios'!$C$16="Não",C8*'9-Ajustes Econômicos'!F24-(C8*'2-Cenários'!D24)*('7-Custos Evitados'!E15/1000),C8*'9-Ajustes Econômicos'!F24-(C8*'2-Cenários'!D24)*('7-Custos Evitados'!E15/1000)*(1+'9-Ajustes Econômicos'!C5*0.5)*(1+'9-Ajustes Econômicos'!C11*0.5))</f>
        <v>#VALUE!</v>
      </c>
      <c r="E53" s="51" t="s">
        <v>104</v>
      </c>
      <c r="F53" s="52" t="e">
        <f>IF('1-Critérios'!C15&lt;2,0,IF('1-Critérios'!$C$16="Não",F8*'9-Ajustes Econômicos'!F25-(F48*'2-Cenários'!D25)*('7-Custos Evitados'!E15/1000)*(1-'9-Ajustes Econômicos'!C11)*(1+'9-Ajustes Econômicos'!C5),F8*'9-Ajustes Econômicos'!F25-(F48*'2-Cenários'!D25)*('7-Custos Evitados'!E15/1000)*(1-'9-Ajustes Econômicos'!C11)*(1+'9-Ajustes Econômicos'!C5)*(1-'9-Ajustes Econômicos'!C11*0.5)*(1+'9-Ajustes Econômicos'!C6*0.5)))</f>
        <v>#VALUE!</v>
      </c>
      <c r="H53" s="51" t="s">
        <v>104</v>
      </c>
      <c r="I53" s="52" t="e">
        <f>IF('1-Critérios'!C15&lt;3,0,IF('1-Critérios'!$C$16="Não",I48*'9-Ajustes Econômicos'!F26-(I48*'2-Cenários'!D26)*('7-Custos Evitados'!E15/1000)*(1-'9-Ajustes Econômicos'!C11)^2*(1+'9-Ajustes Econômicos'!C5)*(1+'9-Ajustes Econômicos'!C6),I48*'9-Ajustes Econômicos'!F26-(I48*'2-Cenários'!D26)*('7-Custos Evitados'!E15/1000)*(1-'9-Ajustes Econômicos'!C11)^2*(1+'9-Ajustes Econômicos'!C5)*(1+'9-Ajustes Econômicos'!C6)*(1+'9-Ajustes Econômicos'!C7*0.5)*(1-'9-Ajustes Econômicos'!C11*0.5)))</f>
        <v>#VALUE!</v>
      </c>
    </row>
    <row r="54" ht="13.5" thickBot="1"/>
    <row r="55" spans="2:6" ht="15">
      <c r="B55" s="47" t="s">
        <v>24</v>
      </c>
      <c r="C55" s="24"/>
      <c r="E55" s="47" t="s">
        <v>25</v>
      </c>
      <c r="F55" s="24"/>
    </row>
    <row r="56" spans="2:6" ht="12.75">
      <c r="B56" s="25" t="s">
        <v>91</v>
      </c>
      <c r="C56" s="114" t="e">
        <f>I48</f>
        <v>#VALUE!</v>
      </c>
      <c r="E56" s="25" t="s">
        <v>91</v>
      </c>
      <c r="F56" s="114" t="e">
        <f>C59</f>
        <v>#VALUE!</v>
      </c>
    </row>
    <row r="57" spans="2:6" ht="12.75">
      <c r="B57" s="25" t="s">
        <v>92</v>
      </c>
      <c r="C57" s="115">
        <f>C46</f>
        <v>0</v>
      </c>
      <c r="E57" s="25" t="s">
        <v>92</v>
      </c>
      <c r="F57" s="115">
        <f>C46</f>
        <v>0</v>
      </c>
    </row>
    <row r="58" spans="2:6" ht="12.75">
      <c r="B58" s="25" t="s">
        <v>281</v>
      </c>
      <c r="C58" s="115">
        <f>C47</f>
        <v>0</v>
      </c>
      <c r="E58" s="25" t="s">
        <v>281</v>
      </c>
      <c r="F58" s="115">
        <f>C47</f>
        <v>0</v>
      </c>
    </row>
    <row r="59" spans="2:6" ht="12.75">
      <c r="B59" s="25" t="s">
        <v>105</v>
      </c>
      <c r="C59" s="49" t="e">
        <f>C56+C56*C57-C56*C58</f>
        <v>#VALUE!</v>
      </c>
      <c r="E59" s="25" t="s">
        <v>106</v>
      </c>
      <c r="F59" s="49" t="e">
        <f>F56+F56*F57-F56*F58</f>
        <v>#VALUE!</v>
      </c>
    </row>
    <row r="60" spans="2:6" ht="12.75">
      <c r="B60" s="25" t="s">
        <v>286</v>
      </c>
      <c r="C60" s="205">
        <f>'9-Ajustes Econômicos'!F27</f>
        <v>0</v>
      </c>
      <c r="E60" s="25" t="s">
        <v>287</v>
      </c>
      <c r="F60" s="205">
        <f>'9-Ajustes Econômicos'!F28</f>
        <v>0</v>
      </c>
    </row>
    <row r="61" spans="2:6" ht="12.75">
      <c r="B61" s="25" t="s">
        <v>285</v>
      </c>
      <c r="C61" s="50" t="e">
        <f>IF('1-Critérios'!C15&lt;4,0,C59*'9-Ajustes Econômicos'!C27-(C59*'2-Cenários'!D27)*('7-Custos Evitados'!E15/1000))</f>
        <v>#VALUE!</v>
      </c>
      <c r="E61" s="25" t="s">
        <v>285</v>
      </c>
      <c r="F61" s="50" t="e">
        <f>IF('1-Critérios'!C15&lt;5,0,F59*'9-Ajustes Econômicos'!C28-(F59*'2-Cenários'!D28)*('7-Custos Evitados'!E15/1000))</f>
        <v>#VALUE!</v>
      </c>
    </row>
    <row r="62" spans="2:6" ht="12.75">
      <c r="B62" s="48" t="s">
        <v>346</v>
      </c>
      <c r="C62" s="50" t="e">
        <f>IF('1-Critérios'!C15&lt;4,0,IF('1-Critérios'!$C$16="Não",C59*'9-Ajustes Econômicos'!D27-(C59*'2-Cenários'!D27)*('7-Custos Evitados'!E15/1000)*(1+'9-Ajustes Econômicos'!C5)*(1+'9-Ajustes Econômicos'!C6)*(1+'9-Ajustes Econômicos'!C7),C59*'9-Ajustes Econômicos'!D27-(C59*'2-Cenários'!D27)*('7-Custos Evitados'!E15/1000)*(1+'9-Ajustes Econômicos'!C5)*(1+'9-Ajustes Econômicos'!C6)*(1+'9-Ajustes Econômicos'!C7)*(1+'9-Ajustes Econômicos'!C8*0.5)))</f>
        <v>#VALUE!</v>
      </c>
      <c r="E62" s="48" t="s">
        <v>346</v>
      </c>
      <c r="F62" s="50" t="e">
        <f>IF('1-Critérios'!C15&lt;5,0,IF('1-Critérios'!$C$16="Não",F59*'9-Ajustes Econômicos'!D28-(F59*'2-Cenários'!D28)*('7-Custos Evitados'!E15/1000)*(1+'9-Ajustes Econômicos'!C5)*(1+'9-Ajustes Econômicos'!C6)*(1+'9-Ajustes Econômicos'!C7)*(1+'9-Ajustes Econômicos'!C8),F59*'9-Ajustes Econômicos'!D28-(F59*'2-Cenários'!D28)*('7-Custos Evitados'!E15/1000)*(1+'9-Ajustes Econômicos'!C5)*(1+'9-Ajustes Econômicos'!C6)*(1+'9-Ajustes Econômicos'!C7)*(1+'9-Ajustes Econômicos'!C8)*(1+'9-Ajustes Econômicos'!C9*0.5)))</f>
        <v>#VALUE!</v>
      </c>
    </row>
    <row r="63" spans="2:6" ht="12.75">
      <c r="B63" s="25" t="s">
        <v>103</v>
      </c>
      <c r="C63" s="50" t="e">
        <f>IF('1-Critérios'!C15&lt;4,0,IF('1-Critérios'!$C$16="Não",C59*'9-Ajustes Econômicos'!E27-(C59*'2-Cenários'!D27)*('7-Custos Evitados'!E15/1000)*(1-'9-Ajustes Econômicos'!C11)^3,C59*'9-Ajustes Econômicos'!E27-(C59*'2-Cenários'!D27)*('7-Custos Evitados'!E15/1000)*(1-'9-Ajustes Econômicos'!C11)^3*(1-'9-Ajustes Econômicos'!C11*0.5)))</f>
        <v>#VALUE!</v>
      </c>
      <c r="E63" s="25" t="s">
        <v>103</v>
      </c>
      <c r="F63" s="50" t="e">
        <f>IF('1-Critérios'!C15&lt;5,0,IF('1-Critérios'!$C$16="Não",F59*'9-Ajustes Econômicos'!E28-(F59*'2-Cenários'!D28)*('7-Custos Evitados'!E15/1000)*(1-'9-Ajustes Econômicos'!C11)^4,F59*'9-Ajustes Econômicos'!E28-(F59*'2-Cenários'!D28)*('7-Custos Evitados'!E15/1000)*(1-'9-Ajustes Econômicos'!C11)^4*(1-'9-Ajustes Econômicos'!C11*0.5)))</f>
        <v>#VALUE!</v>
      </c>
    </row>
    <row r="64" spans="2:6" ht="13.5" thickBot="1">
      <c r="B64" s="51" t="s">
        <v>104</v>
      </c>
      <c r="C64" s="52" t="e">
        <f>IF('1-Critérios'!C15&lt;4,0,IF('1-Critérios'!$C$16="Não",C59*'9-Ajustes Econômicos'!F27-(C59*'2-Cenários'!D27)*('7-Custos Evitados'!E15/1000)*(1+'9-Ajustes Econômicos'!C5)*(1+'9-Ajustes Econômicos'!C6)*(1+'9-Ajustes Econômicos'!C7)*(1-'9-Ajustes Econômicos'!C11)^3,C59*'9-Ajustes Econômicos'!F27-(C59*'2-Cenários'!D27)*('7-Custos Evitados'!E15/1000)*(1+'9-Ajustes Econômicos'!C5)*(1+'9-Ajustes Econômicos'!C6)*(1+'9-Ajustes Econômicos'!C7)*(1-'9-Ajustes Econômicos'!C11)^3*(1+'9-Ajustes Econômicos'!C8*0.5)*(1-'9-Ajustes Econômicos'!C11*0.5)))</f>
        <v>#VALUE!</v>
      </c>
      <c r="E64" s="51" t="s">
        <v>104</v>
      </c>
      <c r="F64" s="52" t="e">
        <f>IF('1-Critérios'!C15&lt;5,0,IF('1-Critérios'!$C$16="Não",F59*'9-Ajustes Econômicos'!F28-(F59*'2-Cenários'!D28)*('7-Custos Evitados'!E15/1000)*(1+'9-Ajustes Econômicos'!C5)*(1+'9-Ajustes Econômicos'!C6)*(1+'9-Ajustes Econômicos'!C7)*(1+'9-Ajustes Econômicos'!C8)*(1-'9-Ajustes Econômicos'!C11)^4,F59*'9-Ajustes Econômicos'!F28-(F59*'2-Cenários'!D28)*('7-Custos Evitados'!E15/1000)*(1+'9-Ajustes Econômicos'!C5)*(1+'9-Ajustes Econômicos'!C6)*(1+'9-Ajustes Econômicos'!C7)*(1+'9-Ajustes Econômicos'!C8)*(1-'9-Ajustes Econômicos'!C11)^4*(1+'9-Ajustes Econômicos'!C9*0.5)*(1-'9-Ajustes Econômicos'!C11*0.5)))</f>
        <v>#VALUE!</v>
      </c>
    </row>
    <row r="66" ht="12.75">
      <c r="B66" s="53" t="s">
        <v>109</v>
      </c>
    </row>
    <row r="67" ht="12.75">
      <c r="B67" s="53" t="s">
        <v>110</v>
      </c>
    </row>
    <row r="68" ht="13.5" thickBot="1"/>
    <row r="69" spans="2:6" ht="15.75">
      <c r="B69" s="243" t="s">
        <v>118</v>
      </c>
      <c r="C69" s="244"/>
      <c r="D69" s="244"/>
      <c r="E69" s="244"/>
      <c r="F69" s="245"/>
    </row>
    <row r="70" spans="2:6" ht="12.75">
      <c r="B70" s="246"/>
      <c r="C70" s="247"/>
      <c r="D70" s="247"/>
      <c r="E70" s="247"/>
      <c r="F70" s="248"/>
    </row>
    <row r="71" spans="2:6" ht="15.75">
      <c r="B71" s="239" t="s">
        <v>139</v>
      </c>
      <c r="C71" s="240"/>
      <c r="D71" s="240"/>
      <c r="E71" s="240"/>
      <c r="F71" s="55" t="e">
        <f>C50+F50+I50+C61+F61</f>
        <v>#VALUE!</v>
      </c>
    </row>
    <row r="72" spans="2:6" ht="15.75">
      <c r="B72" s="239" t="s">
        <v>136</v>
      </c>
      <c r="C72" s="240"/>
      <c r="D72" s="240"/>
      <c r="E72" s="240"/>
      <c r="F72" s="55" t="e">
        <f>C51+F51+I51+C62+F62</f>
        <v>#VALUE!</v>
      </c>
    </row>
    <row r="73" spans="2:6" ht="15.75">
      <c r="B73" s="239" t="s">
        <v>137</v>
      </c>
      <c r="C73" s="240"/>
      <c r="D73" s="240"/>
      <c r="E73" s="240"/>
      <c r="F73" s="55" t="e">
        <f>C52+F52+I52+C63+F63</f>
        <v>#VALUE!</v>
      </c>
    </row>
    <row r="74" spans="2:6" ht="15.75">
      <c r="B74" s="239" t="s">
        <v>138</v>
      </c>
      <c r="C74" s="240"/>
      <c r="D74" s="240"/>
      <c r="E74" s="240"/>
      <c r="F74" s="55" t="e">
        <f>C53+F53+I53+C64+F64</f>
        <v>#VALUE!</v>
      </c>
    </row>
    <row r="75" spans="2:6" ht="15.75">
      <c r="B75" s="239" t="s">
        <v>140</v>
      </c>
      <c r="C75" s="240"/>
      <c r="D75" s="240"/>
      <c r="E75" s="240"/>
      <c r="F75" s="55" t="e">
        <f>F71-'10-Cenário de Referência'!F31</f>
        <v>#VALUE!</v>
      </c>
    </row>
    <row r="76" spans="2:6" ht="15.75">
      <c r="B76" s="54" t="s">
        <v>141</v>
      </c>
      <c r="C76" s="57"/>
      <c r="D76" s="57"/>
      <c r="E76" s="57"/>
      <c r="F76" s="55" t="e">
        <f>F72-'10-Cenário de Referência'!F32</f>
        <v>#VALUE!</v>
      </c>
    </row>
    <row r="77" spans="2:9" ht="15.75">
      <c r="B77" s="239" t="s">
        <v>142</v>
      </c>
      <c r="C77" s="240"/>
      <c r="D77" s="240"/>
      <c r="E77" s="240"/>
      <c r="F77" s="55" t="e">
        <f>F73-'10-Cenário de Referência'!F33</f>
        <v>#VALUE!</v>
      </c>
      <c r="I77" s="26"/>
    </row>
    <row r="78" spans="2:6" ht="16.5" thickBot="1">
      <c r="B78" s="241" t="s">
        <v>143</v>
      </c>
      <c r="C78" s="242"/>
      <c r="D78" s="242"/>
      <c r="E78" s="242"/>
      <c r="F78" s="56" t="e">
        <f>F74-'10-Cenário de Referência'!F34</f>
        <v>#VALUE!</v>
      </c>
    </row>
  </sheetData>
  <sheetProtection/>
  <mergeCells count="18">
    <mergeCell ref="B38:E38"/>
    <mergeCell ref="B30:F30"/>
    <mergeCell ref="B29:F29"/>
    <mergeCell ref="B31:E31"/>
    <mergeCell ref="B32:E32"/>
    <mergeCell ref="B33:E33"/>
    <mergeCell ref="B34:E34"/>
    <mergeCell ref="B35:E35"/>
    <mergeCell ref="B37:E37"/>
    <mergeCell ref="B75:E75"/>
    <mergeCell ref="B77:E77"/>
    <mergeCell ref="B78:E78"/>
    <mergeCell ref="B69:F69"/>
    <mergeCell ref="B70:F70"/>
    <mergeCell ref="B71:E71"/>
    <mergeCell ref="B72:E72"/>
    <mergeCell ref="B73:E73"/>
    <mergeCell ref="B74:E74"/>
  </mergeCells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8"/>
  <sheetViews>
    <sheetView zoomScale="90" zoomScaleNormal="90" zoomScalePageLayoutView="0" workbookViewId="0" topLeftCell="A43">
      <selection activeCell="E82" sqref="E82"/>
    </sheetView>
  </sheetViews>
  <sheetFormatPr defaultColWidth="9.140625" defaultRowHeight="12.75"/>
  <cols>
    <col min="1" max="1" width="9.140625" style="6" customWidth="1"/>
    <col min="2" max="2" width="50.8515625" style="6" customWidth="1"/>
    <col min="3" max="3" width="23.8515625" style="6" customWidth="1"/>
    <col min="4" max="4" width="3.00390625" style="6" customWidth="1"/>
    <col min="5" max="5" width="52.00390625" style="6" bestFit="1" customWidth="1"/>
    <col min="6" max="6" width="23.00390625" style="6" bestFit="1" customWidth="1"/>
    <col min="7" max="7" width="3.7109375" style="6" customWidth="1"/>
    <col min="8" max="8" width="52.00390625" style="6" bestFit="1" customWidth="1"/>
    <col min="9" max="9" width="17.8515625" style="6" customWidth="1"/>
    <col min="10" max="10" width="0" style="6" hidden="1" customWidth="1"/>
    <col min="11" max="16384" width="9.140625" style="6" customWidth="1"/>
  </cols>
  <sheetData>
    <row r="1" spans="1:10" ht="12.75">
      <c r="A1" s="7" t="s">
        <v>153</v>
      </c>
      <c r="J1" s="148" t="str">
        <f>'1-Critérios'!C21</f>
        <v>Rótulo Cenário Alternativo 1</v>
      </c>
    </row>
    <row r="2" spans="2:5" ht="18">
      <c r="B2" s="45" t="s">
        <v>159</v>
      </c>
      <c r="C2" s="117" t="str">
        <f>'1-Critérios'!C21</f>
        <v>Rótulo Cenário Alternativo 1</v>
      </c>
      <c r="D2" s="17"/>
      <c r="E2" s="17"/>
    </row>
    <row r="3" ht="13.5" thickBot="1"/>
    <row r="4" spans="2:9" ht="15">
      <c r="B4" s="47" t="s">
        <v>21</v>
      </c>
      <c r="C4" s="24"/>
      <c r="E4" s="47" t="s">
        <v>22</v>
      </c>
      <c r="F4" s="24"/>
      <c r="H4" s="47" t="s">
        <v>23</v>
      </c>
      <c r="I4" s="24"/>
    </row>
    <row r="5" spans="2:9" ht="12.75">
      <c r="B5" s="25" t="s">
        <v>91</v>
      </c>
      <c r="C5" s="114" t="e">
        <f>'4-Restrições - Demandas'!C19</f>
        <v>#VALUE!</v>
      </c>
      <c r="E5" s="25" t="s">
        <v>91</v>
      </c>
      <c r="F5" s="114" t="e">
        <f>C8</f>
        <v>#VALUE!</v>
      </c>
      <c r="H5" s="25" t="s">
        <v>91</v>
      </c>
      <c r="I5" s="114" t="e">
        <f>F8</f>
        <v>#VALUE!</v>
      </c>
    </row>
    <row r="6" spans="2:9" ht="12.75">
      <c r="B6" s="25" t="s">
        <v>92</v>
      </c>
      <c r="C6" s="115">
        <f>'5-Dinâmica da Doença'!C5</f>
        <v>0</v>
      </c>
      <c r="E6" s="25" t="s">
        <v>92</v>
      </c>
      <c r="F6" s="115">
        <f>C6</f>
        <v>0</v>
      </c>
      <c r="H6" s="25" t="s">
        <v>92</v>
      </c>
      <c r="I6" s="115">
        <f>C6</f>
        <v>0</v>
      </c>
    </row>
    <row r="7" spans="2:9" ht="12.75">
      <c r="B7" s="25" t="s">
        <v>288</v>
      </c>
      <c r="C7" s="115">
        <f>'5-Dinâmica da Doença'!E12</f>
        <v>0</v>
      </c>
      <c r="E7" s="25" t="s">
        <v>288</v>
      </c>
      <c r="F7" s="115">
        <f>C7</f>
        <v>0</v>
      </c>
      <c r="H7" s="25" t="s">
        <v>288</v>
      </c>
      <c r="I7" s="115">
        <f>C7</f>
        <v>0</v>
      </c>
    </row>
    <row r="8" spans="2:9" ht="12.75">
      <c r="B8" s="25" t="s">
        <v>94</v>
      </c>
      <c r="C8" s="49" t="e">
        <f>C5+C5*C6-C5*C7</f>
        <v>#VALUE!</v>
      </c>
      <c r="E8" s="25" t="s">
        <v>95</v>
      </c>
      <c r="F8" s="49" t="e">
        <f>F5+F5*F6-F5*F7</f>
        <v>#VALUE!</v>
      </c>
      <c r="H8" s="25" t="s">
        <v>96</v>
      </c>
      <c r="I8" s="49" t="e">
        <f>I5+I5*I6-I5*I7</f>
        <v>#VALUE!</v>
      </c>
    </row>
    <row r="9" spans="2:9" ht="12.75">
      <c r="B9" s="25" t="s">
        <v>289</v>
      </c>
      <c r="C9" s="205">
        <f>'9-Ajustes Econômicos'!F32</f>
        <v>0</v>
      </c>
      <c r="E9" s="25" t="s">
        <v>290</v>
      </c>
      <c r="F9" s="205">
        <f>'9-Ajustes Econômicos'!F33</f>
        <v>0</v>
      </c>
      <c r="H9" s="25" t="s">
        <v>291</v>
      </c>
      <c r="I9" s="205">
        <f>'9-Ajustes Econômicos'!F34</f>
        <v>0</v>
      </c>
    </row>
    <row r="10" spans="2:9" ht="12.75">
      <c r="B10" s="25" t="s">
        <v>292</v>
      </c>
      <c r="C10" s="50" t="e">
        <f>C8*'9-Ajustes Econômicos'!C32</f>
        <v>#VALUE!</v>
      </c>
      <c r="E10" s="25" t="s">
        <v>292</v>
      </c>
      <c r="F10" s="50" t="e">
        <f>F8*'9-Ajustes Econômicos'!C33</f>
        <v>#VALUE!</v>
      </c>
      <c r="H10" s="25" t="s">
        <v>292</v>
      </c>
      <c r="I10" s="50" t="e">
        <f>I8*'9-Ajustes Econômicos'!C34</f>
        <v>#VALUE!</v>
      </c>
    </row>
    <row r="11" spans="2:9" ht="12.75">
      <c r="B11" s="25" t="s">
        <v>102</v>
      </c>
      <c r="C11" s="50" t="e">
        <f>C8*'9-Ajustes Econômicos'!D32</f>
        <v>#VALUE!</v>
      </c>
      <c r="E11" s="25" t="s">
        <v>102</v>
      </c>
      <c r="F11" s="50" t="e">
        <f>F8*'9-Ajustes Econômicos'!D33</f>
        <v>#VALUE!</v>
      </c>
      <c r="H11" s="25" t="s">
        <v>102</v>
      </c>
      <c r="I11" s="50" t="e">
        <f>I8*'9-Ajustes Econômicos'!D34</f>
        <v>#VALUE!</v>
      </c>
    </row>
    <row r="12" spans="2:9" ht="12.75">
      <c r="B12" s="25" t="s">
        <v>103</v>
      </c>
      <c r="C12" s="50" t="e">
        <f>C8*'9-Ajustes Econômicos'!E32</f>
        <v>#VALUE!</v>
      </c>
      <c r="E12" s="25" t="s">
        <v>103</v>
      </c>
      <c r="F12" s="50" t="e">
        <f>F8*'9-Ajustes Econômicos'!E33</f>
        <v>#VALUE!</v>
      </c>
      <c r="H12" s="25" t="s">
        <v>103</v>
      </c>
      <c r="I12" s="50" t="e">
        <f>I8*'9-Ajustes Econômicos'!E34</f>
        <v>#VALUE!</v>
      </c>
    </row>
    <row r="13" spans="2:9" ht="13.5" thickBot="1">
      <c r="B13" s="51" t="s">
        <v>104</v>
      </c>
      <c r="C13" s="52" t="e">
        <f>C8*'9-Ajustes Econômicos'!F32</f>
        <v>#VALUE!</v>
      </c>
      <c r="E13" s="51" t="s">
        <v>104</v>
      </c>
      <c r="F13" s="52" t="e">
        <f>F8*'9-Ajustes Econômicos'!F33</f>
        <v>#VALUE!</v>
      </c>
      <c r="H13" s="51" t="s">
        <v>104</v>
      </c>
      <c r="I13" s="52" t="e">
        <f>I8*'9-Ajustes Econômicos'!F34</f>
        <v>#VALUE!</v>
      </c>
    </row>
    <row r="15" spans="2:6" ht="15">
      <c r="B15" s="47" t="s">
        <v>24</v>
      </c>
      <c r="C15" s="24"/>
      <c r="E15" s="47" t="s">
        <v>25</v>
      </c>
      <c r="F15" s="24"/>
    </row>
    <row r="16" spans="2:6" ht="12.75">
      <c r="B16" s="25" t="s">
        <v>91</v>
      </c>
      <c r="C16" s="114" t="e">
        <f>I8</f>
        <v>#VALUE!</v>
      </c>
      <c r="E16" s="25" t="s">
        <v>91</v>
      </c>
      <c r="F16" s="114" t="e">
        <f>C19</f>
        <v>#VALUE!</v>
      </c>
    </row>
    <row r="17" spans="2:6" ht="12.75">
      <c r="B17" s="25" t="s">
        <v>92</v>
      </c>
      <c r="C17" s="115">
        <f>C6</f>
        <v>0</v>
      </c>
      <c r="E17" s="25" t="s">
        <v>92</v>
      </c>
      <c r="F17" s="115">
        <f>C6</f>
        <v>0</v>
      </c>
    </row>
    <row r="18" spans="2:6" ht="12.75">
      <c r="B18" s="25" t="s">
        <v>288</v>
      </c>
      <c r="C18" s="115">
        <f>C7</f>
        <v>0</v>
      </c>
      <c r="E18" s="25" t="s">
        <v>288</v>
      </c>
      <c r="F18" s="115">
        <f>C7</f>
        <v>0</v>
      </c>
    </row>
    <row r="19" spans="2:6" ht="12.75">
      <c r="B19" s="25" t="s">
        <v>105</v>
      </c>
      <c r="C19" s="49" t="e">
        <f>C16+C16*C17-C16*C18</f>
        <v>#VALUE!</v>
      </c>
      <c r="E19" s="25" t="s">
        <v>106</v>
      </c>
      <c r="F19" s="49" t="e">
        <f>F16+F16*F17-F16*F18</f>
        <v>#VALUE!</v>
      </c>
    </row>
    <row r="20" spans="2:6" ht="12.75">
      <c r="B20" s="25" t="s">
        <v>293</v>
      </c>
      <c r="C20" s="205">
        <f>'9-Ajustes Econômicos'!F35</f>
        <v>0</v>
      </c>
      <c r="E20" s="25" t="s">
        <v>294</v>
      </c>
      <c r="F20" s="205">
        <f>'9-Ajustes Econômicos'!F36</f>
        <v>0</v>
      </c>
    </row>
    <row r="21" spans="2:6" ht="12.75">
      <c r="B21" s="25" t="s">
        <v>292</v>
      </c>
      <c r="C21" s="50" t="e">
        <f>C19*'9-Ajustes Econômicos'!C35</f>
        <v>#VALUE!</v>
      </c>
      <c r="E21" s="25" t="s">
        <v>292</v>
      </c>
      <c r="F21" s="50" t="e">
        <f>F19*'9-Ajustes Econômicos'!C36</f>
        <v>#VALUE!</v>
      </c>
    </row>
    <row r="22" spans="2:6" ht="12.75">
      <c r="B22" s="25" t="s">
        <v>102</v>
      </c>
      <c r="C22" s="50" t="e">
        <f>C19*'9-Ajustes Econômicos'!D35</f>
        <v>#VALUE!</v>
      </c>
      <c r="E22" s="25" t="s">
        <v>102</v>
      </c>
      <c r="F22" s="50" t="e">
        <f>F19*'9-Ajustes Econômicos'!D36</f>
        <v>#VALUE!</v>
      </c>
    </row>
    <row r="23" spans="2:6" ht="12.75">
      <c r="B23" s="25" t="s">
        <v>103</v>
      </c>
      <c r="C23" s="50" t="e">
        <f>C19*'9-Ajustes Econômicos'!E35</f>
        <v>#VALUE!</v>
      </c>
      <c r="E23" s="25" t="s">
        <v>103</v>
      </c>
      <c r="F23" s="50" t="e">
        <f>F19*'9-Ajustes Econômicos'!E36</f>
        <v>#VALUE!</v>
      </c>
    </row>
    <row r="24" spans="2:6" ht="13.5" thickBot="1">
      <c r="B24" s="51" t="s">
        <v>104</v>
      </c>
      <c r="C24" s="52" t="e">
        <f>C19*'9-Ajustes Econômicos'!F35</f>
        <v>#VALUE!</v>
      </c>
      <c r="E24" s="51" t="s">
        <v>104</v>
      </c>
      <c r="F24" s="52" t="e">
        <f>F19*'9-Ajustes Econômicos'!F36</f>
        <v>#VALUE!</v>
      </c>
    </row>
    <row r="26" ht="12.75">
      <c r="B26" s="53" t="s">
        <v>109</v>
      </c>
    </row>
    <row r="27" ht="12.75">
      <c r="B27" s="53" t="s">
        <v>110</v>
      </c>
    </row>
    <row r="28" ht="13.5" thickBot="1"/>
    <row r="29" spans="2:6" ht="15.75">
      <c r="B29" s="243" t="s">
        <v>181</v>
      </c>
      <c r="C29" s="244"/>
      <c r="D29" s="244"/>
      <c r="E29" s="244"/>
      <c r="F29" s="245"/>
    </row>
    <row r="30" spans="2:6" ht="12.75">
      <c r="B30" s="246"/>
      <c r="C30" s="247"/>
      <c r="D30" s="247"/>
      <c r="E30" s="247"/>
      <c r="F30" s="248"/>
    </row>
    <row r="31" spans="2:6" ht="15.75">
      <c r="B31" s="239" t="s">
        <v>304</v>
      </c>
      <c r="C31" s="240"/>
      <c r="D31" s="240"/>
      <c r="E31" s="240"/>
      <c r="F31" s="55" t="e">
        <f>C10+F10+I10+C21+F21</f>
        <v>#VALUE!</v>
      </c>
    </row>
    <row r="32" spans="2:6" ht="15.75">
      <c r="B32" s="239" t="s">
        <v>305</v>
      </c>
      <c r="C32" s="240"/>
      <c r="D32" s="240"/>
      <c r="E32" s="240"/>
      <c r="F32" s="55" t="e">
        <f>C11+F11+I11+C22+F22</f>
        <v>#VALUE!</v>
      </c>
    </row>
    <row r="33" spans="2:6" ht="15.75">
      <c r="B33" s="239" t="s">
        <v>306</v>
      </c>
      <c r="C33" s="240"/>
      <c r="D33" s="240"/>
      <c r="E33" s="240"/>
      <c r="F33" s="55" t="e">
        <f>C12+F12+I12+C23+F23</f>
        <v>#VALUE!</v>
      </c>
    </row>
    <row r="34" spans="2:6" ht="15.75">
      <c r="B34" s="239" t="s">
        <v>307</v>
      </c>
      <c r="C34" s="240"/>
      <c r="D34" s="240"/>
      <c r="E34" s="240"/>
      <c r="F34" s="55" t="e">
        <f>C13+F13+I13+C24+F24</f>
        <v>#VALUE!</v>
      </c>
    </row>
    <row r="35" spans="2:6" ht="15.75">
      <c r="B35" s="239" t="s">
        <v>308</v>
      </c>
      <c r="C35" s="240"/>
      <c r="D35" s="240"/>
      <c r="E35" s="240"/>
      <c r="F35" s="55" t="e">
        <f>F31-'10-Cenário de Referência'!F31</f>
        <v>#VALUE!</v>
      </c>
    </row>
    <row r="36" spans="2:6" ht="15.75">
      <c r="B36" s="54" t="s">
        <v>309</v>
      </c>
      <c r="C36" s="57"/>
      <c r="D36" s="57"/>
      <c r="E36" s="57"/>
      <c r="F36" s="55" t="e">
        <f>F32-'10-Cenário de Referência'!F32</f>
        <v>#VALUE!</v>
      </c>
    </row>
    <row r="37" spans="2:6" ht="15.75">
      <c r="B37" s="239" t="s">
        <v>310</v>
      </c>
      <c r="C37" s="240"/>
      <c r="D37" s="240"/>
      <c r="E37" s="240"/>
      <c r="F37" s="55" t="e">
        <f>F33-'10-Cenário de Referência'!F33</f>
        <v>#VALUE!</v>
      </c>
    </row>
    <row r="38" spans="2:6" ht="16.5" thickBot="1">
      <c r="B38" s="241" t="s">
        <v>311</v>
      </c>
      <c r="C38" s="242"/>
      <c r="D38" s="242"/>
      <c r="E38" s="242"/>
      <c r="F38" s="56" t="e">
        <f>F34-'10-Cenário de Referência'!F34</f>
        <v>#VALUE!</v>
      </c>
    </row>
    <row r="41" ht="12.75">
      <c r="E41" s="148"/>
    </row>
    <row r="42" spans="2:5" ht="18">
      <c r="B42" s="45" t="s">
        <v>312</v>
      </c>
      <c r="E42" s="117" t="str">
        <f>'1-Critérios'!C21</f>
        <v>Rótulo Cenário Alternativo 1</v>
      </c>
    </row>
    <row r="43" ht="13.5" thickBot="1"/>
    <row r="44" spans="2:9" ht="15">
      <c r="B44" s="47" t="s">
        <v>21</v>
      </c>
      <c r="C44" s="24"/>
      <c r="E44" s="47" t="s">
        <v>22</v>
      </c>
      <c r="F44" s="24"/>
      <c r="H44" s="47" t="s">
        <v>23</v>
      </c>
      <c r="I44" s="24"/>
    </row>
    <row r="45" spans="2:9" ht="12.75">
      <c r="B45" s="25" t="s">
        <v>91</v>
      </c>
      <c r="C45" s="114" t="e">
        <f>'4-Restrições - Demandas'!C19</f>
        <v>#VALUE!</v>
      </c>
      <c r="E45" s="25" t="s">
        <v>91</v>
      </c>
      <c r="F45" s="114" t="e">
        <f>C48</f>
        <v>#VALUE!</v>
      </c>
      <c r="H45" s="25" t="s">
        <v>91</v>
      </c>
      <c r="I45" s="114" t="e">
        <f>F48</f>
        <v>#VALUE!</v>
      </c>
    </row>
    <row r="46" spans="2:9" ht="12.75">
      <c r="B46" s="25" t="s">
        <v>92</v>
      </c>
      <c r="C46" s="115">
        <f>'5-Dinâmica da Doença'!C5</f>
        <v>0</v>
      </c>
      <c r="E46" s="25" t="s">
        <v>92</v>
      </c>
      <c r="F46" s="115">
        <f>C46</f>
        <v>0</v>
      </c>
      <c r="H46" s="25" t="s">
        <v>92</v>
      </c>
      <c r="I46" s="115">
        <f>C46</f>
        <v>0</v>
      </c>
    </row>
    <row r="47" spans="2:9" ht="12.75">
      <c r="B47" s="25" t="s">
        <v>281</v>
      </c>
      <c r="C47" s="115">
        <f>'5-Dinâmica da Doença'!E12</f>
        <v>0</v>
      </c>
      <c r="E47" s="25" t="s">
        <v>281</v>
      </c>
      <c r="F47" s="115">
        <f>C47</f>
        <v>0</v>
      </c>
      <c r="H47" s="25" t="s">
        <v>281</v>
      </c>
      <c r="I47" s="115">
        <f>C47</f>
        <v>0</v>
      </c>
    </row>
    <row r="48" spans="2:9" ht="12.75">
      <c r="B48" s="25" t="s">
        <v>94</v>
      </c>
      <c r="C48" s="49" t="e">
        <f>C45+C45*C46-C45*C47</f>
        <v>#VALUE!</v>
      </c>
      <c r="E48" s="25" t="s">
        <v>95</v>
      </c>
      <c r="F48" s="49" t="e">
        <f>F45+F45*F46-F45*F47</f>
        <v>#VALUE!</v>
      </c>
      <c r="H48" s="25" t="s">
        <v>96</v>
      </c>
      <c r="I48" s="49" t="e">
        <f>I45+I45*I46-I45*I47</f>
        <v>#VALUE!</v>
      </c>
    </row>
    <row r="49" spans="2:9" ht="12.75">
      <c r="B49" s="25" t="s">
        <v>282</v>
      </c>
      <c r="C49" s="205">
        <f>'9-Ajustes Econômicos'!F24</f>
        <v>0</v>
      </c>
      <c r="E49" s="25" t="s">
        <v>283</v>
      </c>
      <c r="F49" s="205">
        <f>'9-Ajustes Econômicos'!F25</f>
        <v>0</v>
      </c>
      <c r="H49" s="25" t="s">
        <v>284</v>
      </c>
      <c r="I49" s="205">
        <f>'9-Ajustes Econômicos'!F26</f>
        <v>0</v>
      </c>
    </row>
    <row r="50" spans="2:9" ht="12.75">
      <c r="B50" s="25" t="s">
        <v>285</v>
      </c>
      <c r="C50" s="50" t="e">
        <f>C8*'9-Ajustes Econômicos'!C32-(C8*'2-Cenários'!D34)*('7-Custos Evitados'!E15/1000)</f>
        <v>#VALUE!</v>
      </c>
      <c r="E50" s="25" t="s">
        <v>285</v>
      </c>
      <c r="F50" s="50" t="e">
        <f>IF('1-Critérios'!C15&lt;2,0,F8*'9-Ajustes Econômicos'!C33-(F48*'2-Cenários'!D35)*('7-Custos Evitados'!E15/1000))</f>
        <v>#VALUE!</v>
      </c>
      <c r="H50" s="25" t="s">
        <v>285</v>
      </c>
      <c r="I50" s="50" t="e">
        <f>IF('1-Critérios'!C15&lt;3,0,I48*'9-Ajustes Econômicos'!C34-(I48*'2-Cenários'!D36)*('7-Custos Evitados'!E15/1000))</f>
        <v>#VALUE!</v>
      </c>
    </row>
    <row r="51" spans="2:9" ht="12.75">
      <c r="B51" s="48" t="s">
        <v>346</v>
      </c>
      <c r="C51" s="50" t="e">
        <f>IF('1-Critérios'!$C$16="Não",C8*'9-Ajustes Econômicos'!D32-(C8*'2-Cenários'!D34)*('7-Custos Evitados'!E15/1000),C8*'9-Ajustes Econômicos'!D32-(C8*'2-Cenários'!D34)*('7-Custos Evitados'!E15/1000)*(1+'9-Ajustes Econômicos'!C5+0.5))</f>
        <v>#VALUE!</v>
      </c>
      <c r="E51" s="48" t="s">
        <v>346</v>
      </c>
      <c r="F51" s="50" t="e">
        <f>IF('1-Critérios'!C15&lt;2,0,IF('1-Critérios'!$C$16="Não",F8*'9-Ajustes Econômicos'!D33-(F48*'2-Cenários'!D35)*('7-Custos Evitados'!E15/1000)*(1+'9-Ajustes Econômicos'!C5),F8*'9-Ajustes Econômicos'!D33-(F48*'2-Cenários'!D35)*('7-Custos Evitados'!E15/1000)*(1+'9-Ajustes Econômicos'!C5)*(1+'9-Ajustes Econômicos'!C6*0.5)))</f>
        <v>#VALUE!</v>
      </c>
      <c r="H51" s="48" t="s">
        <v>346</v>
      </c>
      <c r="I51" s="50" t="e">
        <f>IF('1-Critérios'!C15&lt;3,0,IF('1-Critérios'!$C$16="Não",I48*'9-Ajustes Econômicos'!D34-(I48*'2-Cenários'!D36)*('7-Custos Evitados'!E15/1000)*(1+'9-Ajustes Econômicos'!C5)*(1+'9-Ajustes Econômicos'!C6),I48*'9-Ajustes Econômicos'!D34-(I48*'2-Cenários'!D36)*('7-Custos Evitados'!E15/1000)*(1+'9-Ajustes Econômicos'!C5)*(1+'9-Ajustes Econômicos'!C6)*(1+'9-Ajustes Econômicos'!C7*0.5)))</f>
        <v>#VALUE!</v>
      </c>
    </row>
    <row r="52" spans="2:9" ht="12.75">
      <c r="B52" s="25" t="s">
        <v>103</v>
      </c>
      <c r="C52" s="50" t="e">
        <f>IF('1-Critérios'!$C$16="Não",C8*'9-Ajustes Econômicos'!E32-(C8*'2-Cenários'!D34)*('7-Custos Evitados'!E15/1000),C8*'9-Ajustes Econômicos'!E32-(C8*'2-Cenários'!D34)*('7-Custos Evitados'!E15/1000)*(1-'9-Ajustes Econômicos'!C11*0.5))</f>
        <v>#VALUE!</v>
      </c>
      <c r="E52" s="25" t="s">
        <v>103</v>
      </c>
      <c r="F52" s="50" t="e">
        <f>IF('1-Critérios'!C15&lt;2,0,IF('1-Critérios'!$C$16="Não",F8*'9-Ajustes Econômicos'!E33-(F48*'2-Cenários'!D35)*('7-Custos Evitados'!E15/1000)*(1-'9-Ajustes Econômicos'!C11),F8*'9-Ajustes Econômicos'!E33-(F48*'2-Cenários'!D35)*('7-Custos Evitados'!E15/1000)*(1-'9-Ajustes Econômicos'!C11)*(1-'9-Ajustes Econômicos'!C11*0.5)))</f>
        <v>#VALUE!</v>
      </c>
      <c r="H52" s="25" t="s">
        <v>103</v>
      </c>
      <c r="I52" s="50" t="e">
        <f>IF('1-Critérios'!C15&lt;3,0,IF('1-Critérios'!$C$16="Não",I48*'9-Ajustes Econômicos'!E34-(I48*'2-Cenários'!D36)*('7-Custos Evitados'!E15/1000)*(1-'9-Ajustes Econômicos'!C11)^2,I48*'9-Ajustes Econômicos'!E34-(I48*'2-Cenários'!D36)*('7-Custos Evitados'!E15/1000)*(1-'9-Ajustes Econômicos'!C11)^2*(1-'9-Ajustes Econômicos'!C11*0.5)))</f>
        <v>#VALUE!</v>
      </c>
    </row>
    <row r="53" spans="2:9" ht="13.5" thickBot="1">
      <c r="B53" s="51" t="s">
        <v>104</v>
      </c>
      <c r="C53" s="52" t="e">
        <f>IF('1-Critérios'!$C$16="Não",C8*'9-Ajustes Econômicos'!F32-(C8*'2-Cenários'!D34)*('7-Custos Evitados'!E15/1000),C8*'9-Ajustes Econômicos'!F32-(C8*'2-Cenários'!D34)*('7-Custos Evitados'!E15/1000)*(1+'9-Ajustes Econômicos'!C5*0.5)*(1+'9-Ajustes Econômicos'!C11*0.5))</f>
        <v>#VALUE!</v>
      </c>
      <c r="E53" s="51" t="s">
        <v>104</v>
      </c>
      <c r="F53" s="52" t="e">
        <f>IF('1-Critérios'!C15&lt;2,0,IF('1-Critérios'!$C$16="Não",F8*'9-Ajustes Econômicos'!F33-(F48*'2-Cenários'!D35)*('7-Custos Evitados'!E15/1000)*(1-'9-Ajustes Econômicos'!C11)*(1+'9-Ajustes Econômicos'!C5),F8*'9-Ajustes Econômicos'!F33-(F48*'2-Cenários'!D35)*('7-Custos Evitados'!E15/1000)*(1-'9-Ajustes Econômicos'!C11)*(1+'9-Ajustes Econômicos'!C5)*(1-'9-Ajustes Econômicos'!C11*0.5)*(1+'9-Ajustes Econômicos'!C6*0.5)))</f>
        <v>#VALUE!</v>
      </c>
      <c r="H53" s="51" t="s">
        <v>104</v>
      </c>
      <c r="I53" s="52" t="e">
        <f>IF('1-Critérios'!C15&lt;3,0,IF('1-Critérios'!$C$16="Não",I48*'9-Ajustes Econômicos'!F34-(I48*'2-Cenários'!D36)*('7-Custos Evitados'!E15/1000)*(1-'9-Ajustes Econômicos'!C11)^2*(1+'9-Ajustes Econômicos'!C5)*(1+'9-Ajustes Econômicos'!C6),I48*'9-Ajustes Econômicos'!F34-(I48*'2-Cenários'!D36)*('7-Custos Evitados'!E15/1000)*(1-'9-Ajustes Econômicos'!C11)^2*(1+'9-Ajustes Econômicos'!C5)*(1+'9-Ajustes Econômicos'!C6)*(1+'9-Ajustes Econômicos'!C7*0.5)*(1-'9-Ajustes Econômicos'!C11*0.5)))</f>
        <v>#VALUE!</v>
      </c>
    </row>
    <row r="54" ht="13.5" thickBot="1"/>
    <row r="55" spans="2:6" ht="15">
      <c r="B55" s="47" t="s">
        <v>24</v>
      </c>
      <c r="C55" s="24"/>
      <c r="E55" s="47" t="s">
        <v>25</v>
      </c>
      <c r="F55" s="24"/>
    </row>
    <row r="56" spans="2:6" ht="12.75">
      <c r="B56" s="25" t="s">
        <v>91</v>
      </c>
      <c r="C56" s="114" t="e">
        <f>I48</f>
        <v>#VALUE!</v>
      </c>
      <c r="E56" s="25" t="s">
        <v>91</v>
      </c>
      <c r="F56" s="114" t="e">
        <f>C59</f>
        <v>#VALUE!</v>
      </c>
    </row>
    <row r="57" spans="2:6" ht="12.75">
      <c r="B57" s="25" t="s">
        <v>92</v>
      </c>
      <c r="C57" s="115">
        <f>C46</f>
        <v>0</v>
      </c>
      <c r="E57" s="25" t="s">
        <v>92</v>
      </c>
      <c r="F57" s="115">
        <f>C46</f>
        <v>0</v>
      </c>
    </row>
    <row r="58" spans="2:6" ht="12.75">
      <c r="B58" s="25" t="s">
        <v>281</v>
      </c>
      <c r="C58" s="115">
        <f>C47</f>
        <v>0</v>
      </c>
      <c r="E58" s="25" t="s">
        <v>281</v>
      </c>
      <c r="F58" s="115">
        <f>C47</f>
        <v>0</v>
      </c>
    </row>
    <row r="59" spans="2:6" ht="12.75">
      <c r="B59" s="25" t="s">
        <v>105</v>
      </c>
      <c r="C59" s="49" t="e">
        <f>C56+C56*C57-C56*C58</f>
        <v>#VALUE!</v>
      </c>
      <c r="E59" s="25" t="s">
        <v>106</v>
      </c>
      <c r="F59" s="49" t="e">
        <f>F56+F56*F57-F56*F58</f>
        <v>#VALUE!</v>
      </c>
    </row>
    <row r="60" spans="2:6" ht="12.75">
      <c r="B60" s="25" t="s">
        <v>286</v>
      </c>
      <c r="C60" s="205">
        <f>'9-Ajustes Econômicos'!F27</f>
        <v>0</v>
      </c>
      <c r="E60" s="25" t="s">
        <v>287</v>
      </c>
      <c r="F60" s="205">
        <f>'9-Ajustes Econômicos'!F28</f>
        <v>0</v>
      </c>
    </row>
    <row r="61" spans="2:6" ht="12.75">
      <c r="B61" s="25" t="s">
        <v>285</v>
      </c>
      <c r="C61" s="50" t="e">
        <f>IF('1-Critérios'!C15&lt;4,0,C59*'9-Ajustes Econômicos'!C35-(C59*'2-Cenários'!D37)*('7-Custos Evitados'!E15/1000))</f>
        <v>#VALUE!</v>
      </c>
      <c r="E61" s="25" t="s">
        <v>285</v>
      </c>
      <c r="F61" s="50" t="e">
        <f>IF('1-Critérios'!C15&lt;5,0,F59*'9-Ajustes Econômicos'!C36-(F59*'2-Cenários'!D38)*('7-Custos Evitados'!E15/1000))</f>
        <v>#VALUE!</v>
      </c>
    </row>
    <row r="62" spans="2:6" ht="12.75">
      <c r="B62" s="48" t="s">
        <v>346</v>
      </c>
      <c r="C62" s="50" t="e">
        <f>IF('1-Critérios'!C15&lt;4,0,IF('1-Critérios'!$C$16="Não",C59*'9-Ajustes Econômicos'!D35-(C59*'2-Cenários'!D37)*('7-Custos Evitados'!E15/1000)*(1+'9-Ajustes Econômicos'!C5)*(1+'9-Ajustes Econômicos'!C6)*(1+'9-Ajustes Econômicos'!C7),C59*'9-Ajustes Econômicos'!D35-(C59*'2-Cenários'!D37)*('7-Custos Evitados'!E15/1000)*(1+'9-Ajustes Econômicos'!C5)*(1+'9-Ajustes Econômicos'!C6)*(1+'9-Ajustes Econômicos'!C7)*(1+'9-Ajustes Econômicos'!C8*0.5)))</f>
        <v>#VALUE!</v>
      </c>
      <c r="E62" s="48" t="s">
        <v>346</v>
      </c>
      <c r="F62" s="50" t="e">
        <f>IF('1-Critérios'!C15&lt;5,0,IF('1-Critérios'!$C$16="Não",F59*'9-Ajustes Econômicos'!D36-(F59*'2-Cenários'!D38)*('7-Custos Evitados'!E15/1000)*(1+'9-Ajustes Econômicos'!C5)*(1+'9-Ajustes Econômicos'!C6)*(1+'9-Ajustes Econômicos'!C7)*(1+'9-Ajustes Econômicos'!C8),F59*'9-Ajustes Econômicos'!D36-(F59*'2-Cenários'!D38)*('7-Custos Evitados'!E15/1000)*(1+'9-Ajustes Econômicos'!C5)*(1+'9-Ajustes Econômicos'!C6)*(1+'9-Ajustes Econômicos'!C7)*(1+'9-Ajustes Econômicos'!C8)*(1+'9-Ajustes Econômicos'!C9*0.5)))</f>
        <v>#VALUE!</v>
      </c>
    </row>
    <row r="63" spans="2:6" ht="12.75">
      <c r="B63" s="25" t="s">
        <v>103</v>
      </c>
      <c r="C63" s="50" t="e">
        <f>IF('1-Critérios'!C15&lt;4,0,IF('1-Critérios'!$C$16="Não",C59*'9-Ajustes Econômicos'!E35-(C59*'2-Cenários'!D37)*('7-Custos Evitados'!E15/1000)*(1-'9-Ajustes Econômicos'!C11)^3,C59*'9-Ajustes Econômicos'!E35-(C59*'2-Cenários'!D37)*('7-Custos Evitados'!E15/1000)*(1-'9-Ajustes Econômicos'!C11)^3*(1-'9-Ajustes Econômicos'!C11*0.5)))</f>
        <v>#VALUE!</v>
      </c>
      <c r="E63" s="25" t="s">
        <v>103</v>
      </c>
      <c r="F63" s="50" t="e">
        <f>IF('1-Critérios'!C15&lt;5,0,IF('1-Critérios'!$C$16="Não",F59*'9-Ajustes Econômicos'!E36-(F59*'2-Cenários'!D38)*('7-Custos Evitados'!E15/1000)*(1-'9-Ajustes Econômicos'!C11)^4,F59*'9-Ajustes Econômicos'!E36-(F59*'2-Cenários'!D38)*('7-Custos Evitados'!E15/1000)*(1-'9-Ajustes Econômicos'!C11)^4*(1-'9-Ajustes Econômicos'!C11*0.5)))</f>
        <v>#VALUE!</v>
      </c>
    </row>
    <row r="64" spans="2:6" ht="13.5" thickBot="1">
      <c r="B64" s="51" t="s">
        <v>104</v>
      </c>
      <c r="C64" s="52" t="e">
        <f>IF('1-Critérios'!C15&lt;4,0,IF('1-Critérios'!$C$16="Não",C59*'9-Ajustes Econômicos'!F35-(C59*'2-Cenários'!D37)*('7-Custos Evitados'!E15/1000)*(1+'9-Ajustes Econômicos'!C5)*(1+'9-Ajustes Econômicos'!C6)*(1+'9-Ajustes Econômicos'!C7)*(1-'9-Ajustes Econômicos'!C11)^3,C59*'9-Ajustes Econômicos'!F35-(C59*'2-Cenários'!D37)*('7-Custos Evitados'!E15/1000)*(1+'9-Ajustes Econômicos'!C5)*(1+'9-Ajustes Econômicos'!C6)*(1+'9-Ajustes Econômicos'!C7)*(1-'9-Ajustes Econômicos'!C11)^3*(1+'9-Ajustes Econômicos'!C8*0.5)*(1-'9-Ajustes Econômicos'!C11*0.5)))</f>
        <v>#VALUE!</v>
      </c>
      <c r="E64" s="51" t="s">
        <v>104</v>
      </c>
      <c r="F64" s="52" t="e">
        <f>IF('1-Critérios'!C15&lt;5,0,IF('1-Critérios'!$C$16="Não",F59*'9-Ajustes Econômicos'!F36-(F59*'2-Cenários'!D38)*('7-Custos Evitados'!E15/1000)*(1+'9-Ajustes Econômicos'!C5)*(1+'9-Ajustes Econômicos'!C6)*(1+'9-Ajustes Econômicos'!C7)*(1+'9-Ajustes Econômicos'!C8)*(1-'9-Ajustes Econômicos'!C11)^4,F59*'9-Ajustes Econômicos'!F36-(F59*'2-Cenários'!D38)*('7-Custos Evitados'!E15/1000)*(1+'9-Ajustes Econômicos'!C5)*(1+'9-Ajustes Econômicos'!C6)*(1+'9-Ajustes Econômicos'!C7)*(1+'9-Ajustes Econômicos'!C8)*(1-'9-Ajustes Econômicos'!C11)^4*(1+'9-Ajustes Econômicos'!C9*0.5)*(1-'9-Ajustes Econômicos'!C11*0.5)))</f>
        <v>#VALUE!</v>
      </c>
    </row>
    <row r="66" ht="12.75">
      <c r="B66" s="53" t="s">
        <v>109</v>
      </c>
    </row>
    <row r="67" ht="12.75">
      <c r="B67" s="53" t="s">
        <v>110</v>
      </c>
    </row>
    <row r="68" ht="13.5" thickBot="1"/>
    <row r="69" spans="2:6" ht="15.75">
      <c r="B69" s="243" t="s">
        <v>118</v>
      </c>
      <c r="C69" s="244"/>
      <c r="D69" s="244"/>
      <c r="E69" s="244"/>
      <c r="F69" s="245"/>
    </row>
    <row r="70" spans="2:6" ht="12.75">
      <c r="B70" s="246"/>
      <c r="C70" s="247"/>
      <c r="D70" s="247"/>
      <c r="E70" s="247"/>
      <c r="F70" s="248"/>
    </row>
    <row r="71" spans="2:6" ht="15.75">
      <c r="B71" s="239" t="s">
        <v>304</v>
      </c>
      <c r="C71" s="240"/>
      <c r="D71" s="240"/>
      <c r="E71" s="240"/>
      <c r="F71" s="55" t="e">
        <f>C50+F50+I50+C61+F61</f>
        <v>#VALUE!</v>
      </c>
    </row>
    <row r="72" spans="2:6" ht="15.75">
      <c r="B72" s="239" t="s">
        <v>305</v>
      </c>
      <c r="C72" s="240"/>
      <c r="D72" s="240"/>
      <c r="E72" s="240"/>
      <c r="F72" s="55" t="e">
        <f>C51+F51+I51+C62+F62</f>
        <v>#VALUE!</v>
      </c>
    </row>
    <row r="73" spans="2:6" ht="15.75">
      <c r="B73" s="239" t="s">
        <v>306</v>
      </c>
      <c r="C73" s="240"/>
      <c r="D73" s="240"/>
      <c r="E73" s="240"/>
      <c r="F73" s="55" t="e">
        <f>C52+F52+I52+C63+F63</f>
        <v>#VALUE!</v>
      </c>
    </row>
    <row r="74" spans="2:6" ht="15.75">
      <c r="B74" s="239" t="s">
        <v>307</v>
      </c>
      <c r="C74" s="240"/>
      <c r="D74" s="240"/>
      <c r="E74" s="240"/>
      <c r="F74" s="55" t="e">
        <f>C53+F53+I53+C64+F64</f>
        <v>#VALUE!</v>
      </c>
    </row>
    <row r="75" spans="2:6" ht="15.75">
      <c r="B75" s="239" t="s">
        <v>308</v>
      </c>
      <c r="C75" s="240"/>
      <c r="D75" s="240"/>
      <c r="E75" s="240"/>
      <c r="F75" s="55" t="e">
        <f>F71-'10-Cenário de Referência'!F31</f>
        <v>#VALUE!</v>
      </c>
    </row>
    <row r="76" spans="2:6" ht="15.75">
      <c r="B76" s="54" t="s">
        <v>309</v>
      </c>
      <c r="C76" s="57"/>
      <c r="D76" s="57"/>
      <c r="E76" s="57"/>
      <c r="F76" s="55" t="e">
        <f>F72-'10-Cenário de Referência'!F32</f>
        <v>#VALUE!</v>
      </c>
    </row>
    <row r="77" spans="2:9" ht="15.75">
      <c r="B77" s="239" t="s">
        <v>310</v>
      </c>
      <c r="C77" s="240"/>
      <c r="D77" s="240"/>
      <c r="E77" s="240"/>
      <c r="F77" s="55" t="e">
        <f>F73-'10-Cenário de Referência'!F33</f>
        <v>#VALUE!</v>
      </c>
      <c r="I77" s="26"/>
    </row>
    <row r="78" spans="2:6" ht="16.5" thickBot="1">
      <c r="B78" s="241" t="s">
        <v>311</v>
      </c>
      <c r="C78" s="242"/>
      <c r="D78" s="242"/>
      <c r="E78" s="242"/>
      <c r="F78" s="56" t="e">
        <f>F74-'10-Cenário de Referência'!F34</f>
        <v>#VALUE!</v>
      </c>
    </row>
  </sheetData>
  <sheetProtection/>
  <mergeCells count="18">
    <mergeCell ref="B35:E35"/>
    <mergeCell ref="B37:E37"/>
    <mergeCell ref="B38:E38"/>
    <mergeCell ref="B29:F29"/>
    <mergeCell ref="B30:F30"/>
    <mergeCell ref="B31:E31"/>
    <mergeCell ref="B32:E32"/>
    <mergeCell ref="B33:E33"/>
    <mergeCell ref="B34:E34"/>
    <mergeCell ref="B75:E75"/>
    <mergeCell ref="B77:E77"/>
    <mergeCell ref="B78:E78"/>
    <mergeCell ref="B69:F69"/>
    <mergeCell ref="B70:F70"/>
    <mergeCell ref="B71:E71"/>
    <mergeCell ref="B72:E72"/>
    <mergeCell ref="B73:E73"/>
    <mergeCell ref="B74:E74"/>
  </mergeCells>
  <conditionalFormatting sqref="B2:I38">
    <cfRule type="expression" priority="2" dxfId="22" stopIfTrue="1">
      <formula>$J$1=0</formula>
    </cfRule>
  </conditionalFormatting>
  <conditionalFormatting sqref="E42">
    <cfRule type="expression" priority="1" dxfId="22" stopIfTrue="1">
      <formula>$J$1=0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8"/>
  <sheetViews>
    <sheetView zoomScale="90" zoomScaleNormal="90" zoomScalePageLayoutView="0" workbookViewId="0" topLeftCell="A43">
      <selection activeCell="C84" sqref="C84"/>
    </sheetView>
  </sheetViews>
  <sheetFormatPr defaultColWidth="9.140625" defaultRowHeight="12.75"/>
  <cols>
    <col min="1" max="1" width="9.140625" style="6" customWidth="1"/>
    <col min="2" max="2" width="50.421875" style="6" customWidth="1"/>
    <col min="3" max="3" width="23.8515625" style="6" customWidth="1"/>
    <col min="4" max="4" width="3.00390625" style="6" customWidth="1"/>
    <col min="5" max="5" width="52.00390625" style="6" bestFit="1" customWidth="1"/>
    <col min="6" max="6" width="23.00390625" style="6" bestFit="1" customWidth="1"/>
    <col min="7" max="7" width="3.7109375" style="6" customWidth="1"/>
    <col min="8" max="8" width="52.00390625" style="6" bestFit="1" customWidth="1"/>
    <col min="9" max="9" width="17.8515625" style="6" customWidth="1"/>
    <col min="10" max="10" width="0" style="6" hidden="1" customWidth="1"/>
    <col min="11" max="16384" width="9.140625" style="6" customWidth="1"/>
  </cols>
  <sheetData>
    <row r="1" spans="1:10" ht="12.75">
      <c r="A1" s="7" t="s">
        <v>153</v>
      </c>
      <c r="J1" s="148" t="str">
        <f>'1-Critérios'!C22</f>
        <v>Rótulo Cenário Alternativo 1</v>
      </c>
    </row>
    <row r="2" spans="2:5" ht="18">
      <c r="B2" s="45" t="s">
        <v>160</v>
      </c>
      <c r="C2" s="117" t="str">
        <f>'1-Critérios'!C22</f>
        <v>Rótulo Cenário Alternativo 1</v>
      </c>
      <c r="D2" s="17"/>
      <c r="E2" s="17"/>
    </row>
    <row r="3" ht="13.5" thickBot="1"/>
    <row r="4" spans="2:9" ht="15">
      <c r="B4" s="47" t="s">
        <v>21</v>
      </c>
      <c r="C4" s="24"/>
      <c r="E4" s="47" t="s">
        <v>22</v>
      </c>
      <c r="F4" s="24"/>
      <c r="H4" s="47" t="s">
        <v>23</v>
      </c>
      <c r="I4" s="24"/>
    </row>
    <row r="5" spans="2:9" ht="12.75">
      <c r="B5" s="25" t="s">
        <v>91</v>
      </c>
      <c r="C5" s="114" t="e">
        <f>'4-Restrições - Demandas'!C19</f>
        <v>#VALUE!</v>
      </c>
      <c r="E5" s="25" t="s">
        <v>91</v>
      </c>
      <c r="F5" s="114" t="e">
        <f>C8</f>
        <v>#VALUE!</v>
      </c>
      <c r="H5" s="25" t="s">
        <v>91</v>
      </c>
      <c r="I5" s="114" t="e">
        <f>F8</f>
        <v>#VALUE!</v>
      </c>
    </row>
    <row r="6" spans="2:9" ht="12.75">
      <c r="B6" s="25" t="s">
        <v>92</v>
      </c>
      <c r="C6" s="115">
        <f>'5-Dinâmica da Doença'!C5</f>
        <v>0</v>
      </c>
      <c r="E6" s="25" t="s">
        <v>92</v>
      </c>
      <c r="F6" s="115">
        <f>C6</f>
        <v>0</v>
      </c>
      <c r="H6" s="25" t="s">
        <v>92</v>
      </c>
      <c r="I6" s="115">
        <f>C6</f>
        <v>0</v>
      </c>
    </row>
    <row r="7" spans="2:9" ht="12.75">
      <c r="B7" s="25" t="s">
        <v>295</v>
      </c>
      <c r="C7" s="115">
        <f>'5-Dinâmica da Doença'!E12</f>
        <v>0</v>
      </c>
      <c r="E7" s="25" t="s">
        <v>295</v>
      </c>
      <c r="F7" s="115">
        <f>C7</f>
        <v>0</v>
      </c>
      <c r="H7" s="25" t="s">
        <v>295</v>
      </c>
      <c r="I7" s="115">
        <f>C7</f>
        <v>0</v>
      </c>
    </row>
    <row r="8" spans="2:9" ht="12.75">
      <c r="B8" s="25" t="s">
        <v>94</v>
      </c>
      <c r="C8" s="49" t="e">
        <f>C5+C5*C6-C5*C7</f>
        <v>#VALUE!</v>
      </c>
      <c r="E8" s="25" t="s">
        <v>95</v>
      </c>
      <c r="F8" s="49" t="e">
        <f>F5+F5*F6-F5*F7</f>
        <v>#VALUE!</v>
      </c>
      <c r="H8" s="25" t="s">
        <v>96</v>
      </c>
      <c r="I8" s="49" t="e">
        <f>I5+I5*I6-I5*I7</f>
        <v>#VALUE!</v>
      </c>
    </row>
    <row r="9" spans="2:9" ht="12.75">
      <c r="B9" s="25" t="s">
        <v>296</v>
      </c>
      <c r="C9" s="205">
        <f>'9-Ajustes Econômicos'!F40</f>
        <v>0</v>
      </c>
      <c r="E9" s="25" t="s">
        <v>297</v>
      </c>
      <c r="F9" s="205">
        <f>'9-Ajustes Econômicos'!F41</f>
        <v>0</v>
      </c>
      <c r="H9" s="25" t="s">
        <v>298</v>
      </c>
      <c r="I9" s="205">
        <f>'9-Ajustes Econômicos'!F42</f>
        <v>0</v>
      </c>
    </row>
    <row r="10" spans="2:9" ht="12.75">
      <c r="B10" s="25" t="s">
        <v>299</v>
      </c>
      <c r="C10" s="50" t="e">
        <f>C8*'9-Ajustes Econômicos'!C40</f>
        <v>#VALUE!</v>
      </c>
      <c r="E10" s="25" t="s">
        <v>299</v>
      </c>
      <c r="F10" s="50" t="e">
        <f>F8*'9-Ajustes Econômicos'!C41</f>
        <v>#VALUE!</v>
      </c>
      <c r="H10" s="25" t="s">
        <v>299</v>
      </c>
      <c r="I10" s="50" t="e">
        <f>I8*'9-Ajustes Econômicos'!C42</f>
        <v>#VALUE!</v>
      </c>
    </row>
    <row r="11" spans="2:9" ht="12.75">
      <c r="B11" s="25" t="s">
        <v>102</v>
      </c>
      <c r="C11" s="50" t="e">
        <f>C8*'9-Ajustes Econômicos'!D40</f>
        <v>#VALUE!</v>
      </c>
      <c r="E11" s="25" t="s">
        <v>102</v>
      </c>
      <c r="F11" s="50" t="e">
        <f>F8*'9-Ajustes Econômicos'!D41</f>
        <v>#VALUE!</v>
      </c>
      <c r="H11" s="25" t="s">
        <v>102</v>
      </c>
      <c r="I11" s="50" t="e">
        <f>I8*'9-Ajustes Econômicos'!D42</f>
        <v>#VALUE!</v>
      </c>
    </row>
    <row r="12" spans="2:9" ht="12.75">
      <c r="B12" s="25" t="s">
        <v>103</v>
      </c>
      <c r="C12" s="50" t="e">
        <f>C8*'9-Ajustes Econômicos'!E40</f>
        <v>#VALUE!</v>
      </c>
      <c r="E12" s="25" t="s">
        <v>103</v>
      </c>
      <c r="F12" s="50" t="e">
        <f>F8*'9-Ajustes Econômicos'!E41</f>
        <v>#VALUE!</v>
      </c>
      <c r="H12" s="25" t="s">
        <v>103</v>
      </c>
      <c r="I12" s="50" t="e">
        <f>I8*'9-Ajustes Econômicos'!E42</f>
        <v>#VALUE!</v>
      </c>
    </row>
    <row r="13" spans="2:9" ht="13.5" thickBot="1">
      <c r="B13" s="51" t="s">
        <v>104</v>
      </c>
      <c r="C13" s="52" t="e">
        <f>C8*'9-Ajustes Econômicos'!F40</f>
        <v>#VALUE!</v>
      </c>
      <c r="E13" s="51" t="s">
        <v>104</v>
      </c>
      <c r="F13" s="52" t="e">
        <f>F8*'9-Ajustes Econômicos'!F41</f>
        <v>#VALUE!</v>
      </c>
      <c r="H13" s="51" t="s">
        <v>104</v>
      </c>
      <c r="I13" s="52" t="e">
        <f>I8*'9-Ajustes Econômicos'!F42</f>
        <v>#VALUE!</v>
      </c>
    </row>
    <row r="15" spans="2:6" ht="15">
      <c r="B15" s="47" t="s">
        <v>24</v>
      </c>
      <c r="C15" s="24"/>
      <c r="E15" s="47" t="s">
        <v>25</v>
      </c>
      <c r="F15" s="24"/>
    </row>
    <row r="16" spans="2:6" ht="12.75">
      <c r="B16" s="25" t="s">
        <v>91</v>
      </c>
      <c r="C16" s="114" t="e">
        <f>I8</f>
        <v>#VALUE!</v>
      </c>
      <c r="E16" s="25" t="s">
        <v>91</v>
      </c>
      <c r="F16" s="114" t="e">
        <f>C19</f>
        <v>#VALUE!</v>
      </c>
    </row>
    <row r="17" spans="2:6" ht="12.75">
      <c r="B17" s="25" t="s">
        <v>92</v>
      </c>
      <c r="C17" s="115">
        <f>C6</f>
        <v>0</v>
      </c>
      <c r="E17" s="25" t="s">
        <v>92</v>
      </c>
      <c r="F17" s="115">
        <f>C6</f>
        <v>0</v>
      </c>
    </row>
    <row r="18" spans="2:6" ht="12.75">
      <c r="B18" s="25" t="s">
        <v>295</v>
      </c>
      <c r="C18" s="115">
        <f>C7</f>
        <v>0</v>
      </c>
      <c r="E18" s="25" t="s">
        <v>295</v>
      </c>
      <c r="F18" s="115">
        <f>C7</f>
        <v>0</v>
      </c>
    </row>
    <row r="19" spans="2:6" ht="12.75">
      <c r="B19" s="25" t="s">
        <v>105</v>
      </c>
      <c r="C19" s="49" t="e">
        <f>C16+C16*C17-C16*C18</f>
        <v>#VALUE!</v>
      </c>
      <c r="E19" s="25" t="s">
        <v>106</v>
      </c>
      <c r="F19" s="49" t="e">
        <f>F16+F16*F17-F16*F18</f>
        <v>#VALUE!</v>
      </c>
    </row>
    <row r="20" spans="2:6" ht="12.75">
      <c r="B20" s="25" t="s">
        <v>300</v>
      </c>
      <c r="C20" s="205">
        <f>'9-Ajustes Econômicos'!F43</f>
        <v>0</v>
      </c>
      <c r="E20" s="25" t="s">
        <v>301</v>
      </c>
      <c r="F20" s="205">
        <f>'9-Ajustes Econômicos'!F44</f>
        <v>0</v>
      </c>
    </row>
    <row r="21" spans="2:6" ht="12.75">
      <c r="B21" s="25" t="s">
        <v>299</v>
      </c>
      <c r="C21" s="50" t="e">
        <f>C19*'9-Ajustes Econômicos'!C43</f>
        <v>#VALUE!</v>
      </c>
      <c r="E21" s="25" t="s">
        <v>299</v>
      </c>
      <c r="F21" s="50" t="e">
        <f>F19*'9-Ajustes Econômicos'!C44</f>
        <v>#VALUE!</v>
      </c>
    </row>
    <row r="22" spans="2:6" ht="12.75">
      <c r="B22" s="25" t="s">
        <v>102</v>
      </c>
      <c r="C22" s="50" t="e">
        <f>C19*'9-Ajustes Econômicos'!D43</f>
        <v>#VALUE!</v>
      </c>
      <c r="E22" s="25" t="s">
        <v>102</v>
      </c>
      <c r="F22" s="50" t="e">
        <f>F19*'9-Ajustes Econômicos'!D44</f>
        <v>#VALUE!</v>
      </c>
    </row>
    <row r="23" spans="2:6" ht="12.75">
      <c r="B23" s="25" t="s">
        <v>103</v>
      </c>
      <c r="C23" s="50" t="e">
        <f>C19*'9-Ajustes Econômicos'!E43</f>
        <v>#VALUE!</v>
      </c>
      <c r="E23" s="25" t="s">
        <v>103</v>
      </c>
      <c r="F23" s="50" t="e">
        <f>F19*'9-Ajustes Econômicos'!E44</f>
        <v>#VALUE!</v>
      </c>
    </row>
    <row r="24" spans="2:6" ht="13.5" thickBot="1">
      <c r="B24" s="51" t="s">
        <v>104</v>
      </c>
      <c r="C24" s="52" t="e">
        <f>C19*'9-Ajustes Econômicos'!F43</f>
        <v>#VALUE!</v>
      </c>
      <c r="E24" s="51" t="s">
        <v>104</v>
      </c>
      <c r="F24" s="52" t="e">
        <f>F19*'9-Ajustes Econômicos'!F44</f>
        <v>#VALUE!</v>
      </c>
    </row>
    <row r="26" ht="12.75">
      <c r="B26" s="53" t="s">
        <v>109</v>
      </c>
    </row>
    <row r="27" ht="12.75">
      <c r="B27" s="53" t="s">
        <v>110</v>
      </c>
    </row>
    <row r="28" ht="13.5" thickBot="1"/>
    <row r="29" spans="2:6" ht="15.75">
      <c r="B29" s="243" t="s">
        <v>180</v>
      </c>
      <c r="C29" s="244"/>
      <c r="D29" s="244"/>
      <c r="E29" s="244"/>
      <c r="F29" s="245"/>
    </row>
    <row r="30" spans="2:6" ht="12.75">
      <c r="B30" s="246"/>
      <c r="C30" s="247"/>
      <c r="D30" s="247"/>
      <c r="E30" s="247"/>
      <c r="F30" s="248"/>
    </row>
    <row r="31" spans="2:6" ht="15.75">
      <c r="B31" s="239" t="s">
        <v>139</v>
      </c>
      <c r="C31" s="240"/>
      <c r="D31" s="240"/>
      <c r="E31" s="240"/>
      <c r="F31" s="55" t="e">
        <f>C10+F10+I10+C21+F21</f>
        <v>#VALUE!</v>
      </c>
    </row>
    <row r="32" spans="2:6" ht="15.75">
      <c r="B32" s="239" t="s">
        <v>136</v>
      </c>
      <c r="C32" s="240"/>
      <c r="D32" s="240"/>
      <c r="E32" s="240"/>
      <c r="F32" s="55" t="e">
        <f>C11+F11+I11+C22+F22</f>
        <v>#VALUE!</v>
      </c>
    </row>
    <row r="33" spans="2:6" ht="15.75">
      <c r="B33" s="239" t="s">
        <v>137</v>
      </c>
      <c r="C33" s="240"/>
      <c r="D33" s="240"/>
      <c r="E33" s="240"/>
      <c r="F33" s="55" t="e">
        <f>C12+F12+I12+C23+F23</f>
        <v>#VALUE!</v>
      </c>
    </row>
    <row r="34" spans="2:6" ht="15.75">
      <c r="B34" s="239" t="s">
        <v>138</v>
      </c>
      <c r="C34" s="240"/>
      <c r="D34" s="240"/>
      <c r="E34" s="240"/>
      <c r="F34" s="55" t="e">
        <f>C13+F13+I13+C24+F24</f>
        <v>#VALUE!</v>
      </c>
    </row>
    <row r="35" spans="2:6" ht="15.75">
      <c r="B35" s="239" t="s">
        <v>140</v>
      </c>
      <c r="C35" s="240"/>
      <c r="D35" s="240"/>
      <c r="E35" s="240"/>
      <c r="F35" s="55" t="e">
        <f>F31-'10-Cenário de Referência'!F31</f>
        <v>#VALUE!</v>
      </c>
    </row>
    <row r="36" spans="2:6" ht="15.75">
      <c r="B36" s="54" t="s">
        <v>141</v>
      </c>
      <c r="C36" s="57"/>
      <c r="D36" s="57"/>
      <c r="E36" s="57"/>
      <c r="F36" s="55" t="e">
        <f>F32-'10-Cenário de Referência'!F32</f>
        <v>#VALUE!</v>
      </c>
    </row>
    <row r="37" spans="2:6" ht="15.75">
      <c r="B37" s="239" t="s">
        <v>142</v>
      </c>
      <c r="C37" s="240"/>
      <c r="D37" s="240"/>
      <c r="E37" s="240"/>
      <c r="F37" s="55" t="e">
        <f>F33-'10-Cenário de Referência'!F33</f>
        <v>#VALUE!</v>
      </c>
    </row>
    <row r="38" spans="2:6" ht="16.5" thickBot="1">
      <c r="B38" s="241" t="s">
        <v>143</v>
      </c>
      <c r="C38" s="242"/>
      <c r="D38" s="242"/>
      <c r="E38" s="242"/>
      <c r="F38" s="56" t="e">
        <f>F34-'10-Cenário de Referência'!F34</f>
        <v>#VALUE!</v>
      </c>
    </row>
    <row r="42" spans="2:5" ht="18">
      <c r="B42" s="45" t="s">
        <v>312</v>
      </c>
      <c r="E42" s="117" t="str">
        <f>'1-Critérios'!C22</f>
        <v>Rótulo Cenário Alternativo 1</v>
      </c>
    </row>
    <row r="43" ht="13.5" thickBot="1"/>
    <row r="44" spans="2:9" ht="15">
      <c r="B44" s="47" t="s">
        <v>21</v>
      </c>
      <c r="C44" s="24"/>
      <c r="E44" s="47" t="s">
        <v>22</v>
      </c>
      <c r="F44" s="24"/>
      <c r="H44" s="47" t="s">
        <v>23</v>
      </c>
      <c r="I44" s="24"/>
    </row>
    <row r="45" spans="2:9" ht="12.75">
      <c r="B45" s="25" t="s">
        <v>91</v>
      </c>
      <c r="C45" s="114" t="e">
        <f>'4-Restrições - Demandas'!C19</f>
        <v>#VALUE!</v>
      </c>
      <c r="E45" s="25" t="s">
        <v>91</v>
      </c>
      <c r="F45" s="114" t="e">
        <f>C48</f>
        <v>#VALUE!</v>
      </c>
      <c r="H45" s="25" t="s">
        <v>91</v>
      </c>
      <c r="I45" s="114" t="e">
        <f>F48</f>
        <v>#VALUE!</v>
      </c>
    </row>
    <row r="46" spans="2:9" ht="12.75">
      <c r="B46" s="25" t="s">
        <v>92</v>
      </c>
      <c r="C46" s="115">
        <f>'5-Dinâmica da Doença'!C5</f>
        <v>0</v>
      </c>
      <c r="E46" s="25" t="s">
        <v>92</v>
      </c>
      <c r="F46" s="115">
        <f>C46</f>
        <v>0</v>
      </c>
      <c r="H46" s="25" t="s">
        <v>92</v>
      </c>
      <c r="I46" s="115">
        <f>C46</f>
        <v>0</v>
      </c>
    </row>
    <row r="47" spans="2:9" ht="12.75">
      <c r="B47" s="25" t="s">
        <v>281</v>
      </c>
      <c r="C47" s="115">
        <f>'5-Dinâmica da Doença'!E12</f>
        <v>0</v>
      </c>
      <c r="E47" s="25" t="s">
        <v>281</v>
      </c>
      <c r="F47" s="115">
        <f>C47</f>
        <v>0</v>
      </c>
      <c r="H47" s="25" t="s">
        <v>281</v>
      </c>
      <c r="I47" s="115">
        <f>C47</f>
        <v>0</v>
      </c>
    </row>
    <row r="48" spans="2:9" ht="12.75">
      <c r="B48" s="25" t="s">
        <v>94</v>
      </c>
      <c r="C48" s="49" t="e">
        <f>C45+C45*C46-C45*C47</f>
        <v>#VALUE!</v>
      </c>
      <c r="E48" s="25" t="s">
        <v>95</v>
      </c>
      <c r="F48" s="49" t="e">
        <f>F45+F45*F46-F45*F47</f>
        <v>#VALUE!</v>
      </c>
      <c r="H48" s="25" t="s">
        <v>96</v>
      </c>
      <c r="I48" s="49" t="e">
        <f>I45+I45*I46-I45*I47</f>
        <v>#VALUE!</v>
      </c>
    </row>
    <row r="49" spans="2:9" ht="12.75">
      <c r="B49" s="25" t="s">
        <v>282</v>
      </c>
      <c r="C49" s="205">
        <f>'9-Ajustes Econômicos'!F24</f>
        <v>0</v>
      </c>
      <c r="E49" s="25" t="s">
        <v>283</v>
      </c>
      <c r="F49" s="205">
        <f>'9-Ajustes Econômicos'!F25</f>
        <v>0</v>
      </c>
      <c r="H49" s="25" t="s">
        <v>284</v>
      </c>
      <c r="I49" s="205">
        <f>'9-Ajustes Econômicos'!F26</f>
        <v>0</v>
      </c>
    </row>
    <row r="50" spans="2:9" ht="12.75">
      <c r="B50" s="25" t="s">
        <v>285</v>
      </c>
      <c r="C50" s="50" t="e">
        <f>C8*'9-Ajustes Econômicos'!C40-(C8*'2-Cenários'!D44)*('7-Custos Evitados'!E15/1000)</f>
        <v>#VALUE!</v>
      </c>
      <c r="E50" s="25" t="s">
        <v>285</v>
      </c>
      <c r="F50" s="50" t="e">
        <f>IF('1-Critérios'!C15&lt;2,0,F8*'9-Ajustes Econômicos'!C41-(F48*'2-Cenários'!D45)*('7-Custos Evitados'!E15/1000))</f>
        <v>#VALUE!</v>
      </c>
      <c r="H50" s="25" t="s">
        <v>285</v>
      </c>
      <c r="I50" s="50" t="e">
        <f>IF('1-Critérios'!C15&lt;3,0,I48*'9-Ajustes Econômicos'!C42-(I48*'2-Cenários'!D46)*('7-Custos Evitados'!E15/1000))</f>
        <v>#VALUE!</v>
      </c>
    </row>
    <row r="51" spans="2:9" ht="12.75">
      <c r="B51" s="48" t="s">
        <v>346</v>
      </c>
      <c r="C51" s="50" t="e">
        <f>IF('1-Critérios'!$C$16="Não",C8*'9-Ajustes Econômicos'!D40-(C8*'2-Cenários'!D44)*('7-Custos Evitados'!E15/1000),C8*'9-Ajustes Econômicos'!D40-(C8*'2-Cenários'!D44)*('7-Custos Evitados'!E15/1000)*(1+'9-Ajustes Econômicos'!C5+0.5))</f>
        <v>#VALUE!</v>
      </c>
      <c r="E51" s="48" t="s">
        <v>346</v>
      </c>
      <c r="F51" s="50" t="e">
        <f>IF('1-Critérios'!C15&lt;2,0,IF('1-Critérios'!$C$16="Não",F8*'9-Ajustes Econômicos'!D41-(F48*'2-Cenários'!D45)*('7-Custos Evitados'!E15/1000)*(1+'9-Ajustes Econômicos'!C5),F8*'9-Ajustes Econômicos'!D41-(F48*'2-Cenários'!D45)*('7-Custos Evitados'!E15/1000)*(1+'9-Ajustes Econômicos'!C5)*(1+'9-Ajustes Econômicos'!C6*0.5)))</f>
        <v>#VALUE!</v>
      </c>
      <c r="H51" s="48" t="s">
        <v>346</v>
      </c>
      <c r="I51" s="50" t="e">
        <f>IF('1-Critérios'!C15&lt;3,0,IF('1-Critérios'!$C$16="Não",I48*'9-Ajustes Econômicos'!D42-(I48*'2-Cenários'!D46)*('7-Custos Evitados'!E15/1000)*(1+'9-Ajustes Econômicos'!C5)*(1+'9-Ajustes Econômicos'!C6),I48*'9-Ajustes Econômicos'!D42-(I48*'2-Cenários'!D46)*('7-Custos Evitados'!E15/1000)*(1+'9-Ajustes Econômicos'!C5)*(1+'9-Ajustes Econômicos'!C6)*(1+'9-Ajustes Econômicos'!C7*0.5)))</f>
        <v>#VALUE!</v>
      </c>
    </row>
    <row r="52" spans="2:9" ht="12.75">
      <c r="B52" s="25" t="s">
        <v>103</v>
      </c>
      <c r="C52" s="50" t="e">
        <f>IF('1-Critérios'!$C$16="Não",C8*'9-Ajustes Econômicos'!E40-(C8*'2-Cenários'!D44)*('7-Custos Evitados'!E15/1000),C8*'9-Ajustes Econômicos'!E40-(C8*'2-Cenários'!D44)*('7-Custos Evitados'!E15/1000)*(1-'9-Ajustes Econômicos'!C11*0.5))</f>
        <v>#VALUE!</v>
      </c>
      <c r="E52" s="25" t="s">
        <v>103</v>
      </c>
      <c r="F52" s="50" t="e">
        <f>IF('1-Critérios'!C15&lt;2,0,IF('1-Critérios'!$C$16="Não",F8*'9-Ajustes Econômicos'!E41-(F48*'2-Cenários'!D45)*('7-Custos Evitados'!E15/1000)*(1-'9-Ajustes Econômicos'!C11),F8*'9-Ajustes Econômicos'!E41-(F48*'2-Cenários'!D45)*('7-Custos Evitados'!E15/1000)*(1-'9-Ajustes Econômicos'!C11)*(1-'9-Ajustes Econômicos'!C11*0.5)))</f>
        <v>#VALUE!</v>
      </c>
      <c r="H52" s="25" t="s">
        <v>103</v>
      </c>
      <c r="I52" s="50" t="e">
        <f>IF('1-Critérios'!C15&lt;3,0,IF('1-Critérios'!$C$16="Não",I48*'9-Ajustes Econômicos'!E42-(I48*'2-Cenários'!D46)*('7-Custos Evitados'!E15/1000)*(1-'9-Ajustes Econômicos'!C11)^2,I48*'9-Ajustes Econômicos'!E42-(I48*'2-Cenários'!D46)*('7-Custos Evitados'!E15/1000)*(1-'9-Ajustes Econômicos'!C11)^2*(1-'9-Ajustes Econômicos'!C11*0.5)))</f>
        <v>#VALUE!</v>
      </c>
    </row>
    <row r="53" spans="2:9" ht="13.5" thickBot="1">
      <c r="B53" s="51" t="s">
        <v>104</v>
      </c>
      <c r="C53" s="52" t="e">
        <f>IF('1-Critérios'!$C$16="Não",C8*'9-Ajustes Econômicos'!F40-(C8*'2-Cenários'!D44)*('7-Custos Evitados'!E15/1000),C8*'9-Ajustes Econômicos'!F40-(C8*'2-Cenários'!D44)*('7-Custos Evitados'!E15/1000)*(1+'9-Ajustes Econômicos'!C5*0.5)*(1+'9-Ajustes Econômicos'!C11*0.5))</f>
        <v>#VALUE!</v>
      </c>
      <c r="E53" s="51" t="s">
        <v>104</v>
      </c>
      <c r="F53" s="52" t="e">
        <f>IF('1-Critérios'!C15&lt;2,0,IF('1-Critérios'!$C$16="Não",F8*'9-Ajustes Econômicos'!F41-(F48*'2-Cenários'!D45)*('7-Custos Evitados'!E15/1000)*(1-'9-Ajustes Econômicos'!C11)*(1+'9-Ajustes Econômicos'!C5),F8*'9-Ajustes Econômicos'!F41-(F48*'2-Cenários'!D45)*('7-Custos Evitados'!E15/1000)*(1-'9-Ajustes Econômicos'!C11)*(1+'9-Ajustes Econômicos'!C5)*(1-'9-Ajustes Econômicos'!C11*0.5)*(1+'9-Ajustes Econômicos'!C6*0.5)))</f>
        <v>#VALUE!</v>
      </c>
      <c r="H53" s="51" t="s">
        <v>104</v>
      </c>
      <c r="I53" s="52" t="e">
        <f>IF('1-Critérios'!C15&lt;3,0,IF('1-Critérios'!$C$16="Não",I48*'9-Ajustes Econômicos'!F42-(I48*'2-Cenários'!D46)*('7-Custos Evitados'!E15/1000)*(1-'9-Ajustes Econômicos'!C11)^2*(1+'9-Ajustes Econômicos'!C5)*(1+'9-Ajustes Econômicos'!C6),I48*'9-Ajustes Econômicos'!F42-(I48*'2-Cenários'!D46)*('7-Custos Evitados'!E15/1000)*(1-'9-Ajustes Econômicos'!C11)^2*(1+'9-Ajustes Econômicos'!C5)*(1+'9-Ajustes Econômicos'!C6)*(1+'9-Ajustes Econômicos'!C7*0.5)*(1-'9-Ajustes Econômicos'!C11*0.5)))</f>
        <v>#VALUE!</v>
      </c>
    </row>
    <row r="54" ht="13.5" thickBot="1"/>
    <row r="55" spans="2:6" ht="15">
      <c r="B55" s="47" t="s">
        <v>24</v>
      </c>
      <c r="C55" s="24"/>
      <c r="E55" s="47" t="s">
        <v>25</v>
      </c>
      <c r="F55" s="24"/>
    </row>
    <row r="56" spans="2:6" ht="12.75">
      <c r="B56" s="25" t="s">
        <v>91</v>
      </c>
      <c r="C56" s="114" t="e">
        <f>I48</f>
        <v>#VALUE!</v>
      </c>
      <c r="E56" s="25" t="s">
        <v>91</v>
      </c>
      <c r="F56" s="114" t="e">
        <f>C59</f>
        <v>#VALUE!</v>
      </c>
    </row>
    <row r="57" spans="2:6" ht="12.75">
      <c r="B57" s="25" t="s">
        <v>92</v>
      </c>
      <c r="C57" s="115">
        <f>C46</f>
        <v>0</v>
      </c>
      <c r="E57" s="25" t="s">
        <v>92</v>
      </c>
      <c r="F57" s="115">
        <f>C46</f>
        <v>0</v>
      </c>
    </row>
    <row r="58" spans="2:6" ht="12.75">
      <c r="B58" s="25" t="s">
        <v>281</v>
      </c>
      <c r="C58" s="115">
        <f>C47</f>
        <v>0</v>
      </c>
      <c r="E58" s="25" t="s">
        <v>281</v>
      </c>
      <c r="F58" s="115">
        <f>C47</f>
        <v>0</v>
      </c>
    </row>
    <row r="59" spans="2:6" ht="12.75">
      <c r="B59" s="25" t="s">
        <v>105</v>
      </c>
      <c r="C59" s="49" t="e">
        <f>C56+C56*C57-C56*C58</f>
        <v>#VALUE!</v>
      </c>
      <c r="E59" s="25" t="s">
        <v>106</v>
      </c>
      <c r="F59" s="49" t="e">
        <f>F56+F56*F57-F56*F58</f>
        <v>#VALUE!</v>
      </c>
    </row>
    <row r="60" spans="2:6" ht="12.75">
      <c r="B60" s="25" t="s">
        <v>286</v>
      </c>
      <c r="C60" s="205">
        <f>'9-Ajustes Econômicos'!F27</f>
        <v>0</v>
      </c>
      <c r="E60" s="25" t="s">
        <v>287</v>
      </c>
      <c r="F60" s="205">
        <f>'9-Ajustes Econômicos'!F28</f>
        <v>0</v>
      </c>
    </row>
    <row r="61" spans="2:6" ht="12.75">
      <c r="B61" s="25" t="s">
        <v>285</v>
      </c>
      <c r="C61" s="50" t="e">
        <f>IF('1-Critérios'!C15&lt;4,0,C59*'9-Ajustes Econômicos'!C43-(C59*'2-Cenários'!D47)*('7-Custos Evitados'!E15/1000))</f>
        <v>#VALUE!</v>
      </c>
      <c r="E61" s="25" t="s">
        <v>285</v>
      </c>
      <c r="F61" s="50" t="e">
        <f>IF('1-Critérios'!C15&lt;5,0,F59*'9-Ajustes Econômicos'!C44-(F59*'2-Cenários'!D48)*('7-Custos Evitados'!E15/1000))</f>
        <v>#VALUE!</v>
      </c>
    </row>
    <row r="62" spans="2:6" ht="12.75">
      <c r="B62" s="48" t="s">
        <v>346</v>
      </c>
      <c r="C62" s="50" t="e">
        <f>IF('1-Critérios'!C15&lt;4,0,IF('1-Critérios'!$C$16="Não",C59*'9-Ajustes Econômicos'!D43-(C59*'2-Cenários'!D47)*('7-Custos Evitados'!E15/1000)*(1+'9-Ajustes Econômicos'!C5)*(1+'9-Ajustes Econômicos'!C6)*(1+'9-Ajustes Econômicos'!C7),C59*'9-Ajustes Econômicos'!D43-(C59*'2-Cenários'!D47)*('7-Custos Evitados'!E15/1000)*(1+'9-Ajustes Econômicos'!C5)*(1+'9-Ajustes Econômicos'!C6)*(1+'9-Ajustes Econômicos'!C7)*(1+'9-Ajustes Econômicos'!C8*0.5)))</f>
        <v>#VALUE!</v>
      </c>
      <c r="E62" s="48" t="s">
        <v>346</v>
      </c>
      <c r="F62" s="50" t="e">
        <f>IF('1-Critérios'!C15&lt;5,0,IF('1-Critérios'!$C$16="Não",F59*'9-Ajustes Econômicos'!D44-(F59*'2-Cenários'!D48)*('7-Custos Evitados'!E15/1000)*(1+'9-Ajustes Econômicos'!C5)*(1+'9-Ajustes Econômicos'!C6)*(1+'9-Ajustes Econômicos'!C7)*(1+'9-Ajustes Econômicos'!C8),F59*'9-Ajustes Econômicos'!D44-(F59*'2-Cenários'!D48)*('7-Custos Evitados'!E15/1000)*(1+'9-Ajustes Econômicos'!C5)*(1+'9-Ajustes Econômicos'!C6)*(1+'9-Ajustes Econômicos'!C7)*(1+'9-Ajustes Econômicos'!C8)*(1+'9-Ajustes Econômicos'!C9*0.5)))</f>
        <v>#VALUE!</v>
      </c>
    </row>
    <row r="63" spans="2:6" ht="12.75">
      <c r="B63" s="25" t="s">
        <v>103</v>
      </c>
      <c r="C63" s="50" t="e">
        <f>IF('1-Critérios'!C15&lt;4,0,IF('1-Critérios'!$C$16="Não",C59*'9-Ajustes Econômicos'!E43-(C59*'2-Cenários'!D47)*('7-Custos Evitados'!E15/1000)*(1-'9-Ajustes Econômicos'!C11)^3,C59*'9-Ajustes Econômicos'!E43-(C59*'2-Cenários'!D47)*('7-Custos Evitados'!E15/1000)*(1-'9-Ajustes Econômicos'!C11)^3*(1-'9-Ajustes Econômicos'!C11*0.5)))</f>
        <v>#VALUE!</v>
      </c>
      <c r="E63" s="25" t="s">
        <v>103</v>
      </c>
      <c r="F63" s="50" t="e">
        <f>IF('1-Critérios'!C15&lt;5,0,IF('1-Critérios'!$C$16="Não",F59*'9-Ajustes Econômicos'!E44-(F59*'2-Cenários'!D48)*('7-Custos Evitados'!E15/1000)*(1-'9-Ajustes Econômicos'!C11)^4,F59*'9-Ajustes Econômicos'!E44-(F59*'2-Cenários'!D48)*('7-Custos Evitados'!E15/1000)*(1-'9-Ajustes Econômicos'!C11)^4*(1-'9-Ajustes Econômicos'!C11*0.5)))</f>
        <v>#VALUE!</v>
      </c>
    </row>
    <row r="64" spans="2:6" ht="13.5" thickBot="1">
      <c r="B64" s="51" t="s">
        <v>104</v>
      </c>
      <c r="C64" s="52" t="e">
        <f>IF('1-Critérios'!C15&lt;4,0,IF('1-Critérios'!$C$16="Não",C59*'9-Ajustes Econômicos'!F43-(C59*'2-Cenários'!D47)*('7-Custos Evitados'!E15/1000)*(1+'9-Ajustes Econômicos'!C5)*(1+'9-Ajustes Econômicos'!C6)*(1+'9-Ajustes Econômicos'!C7)*(1-'9-Ajustes Econômicos'!C11)^3,C59*'9-Ajustes Econômicos'!F43-(C59*'2-Cenários'!D47)*('7-Custos Evitados'!E15/1000)*(1+'9-Ajustes Econômicos'!C5)*(1+'9-Ajustes Econômicos'!C6)*(1+'9-Ajustes Econômicos'!C7)*(1-'9-Ajustes Econômicos'!C11)^3*(1+'9-Ajustes Econômicos'!C8*0.5)*(1-'9-Ajustes Econômicos'!C11*0.5)))</f>
        <v>#VALUE!</v>
      </c>
      <c r="E64" s="51" t="s">
        <v>104</v>
      </c>
      <c r="F64" s="52" t="e">
        <f>IF('1-Critérios'!C15&lt;5,0,IF('1-Critérios'!$C$16="Não",F59*'9-Ajustes Econômicos'!F44-(F59*'2-Cenários'!D48)*('7-Custos Evitados'!E15/1000)*(1+'9-Ajustes Econômicos'!C5)*(1+'9-Ajustes Econômicos'!C6)*(1+'9-Ajustes Econômicos'!C7)*(1+'9-Ajustes Econômicos'!C8)*(1-'9-Ajustes Econômicos'!C11)^4,F59*'9-Ajustes Econômicos'!F44-(F59*'2-Cenários'!D48)*('7-Custos Evitados'!E15/1000)*(1+'9-Ajustes Econômicos'!C5)*(1+'9-Ajustes Econômicos'!C6)*(1+'9-Ajustes Econômicos'!C7)*(1+'9-Ajustes Econômicos'!C8)*(1-'9-Ajustes Econômicos'!C11)^4*(1+'9-Ajustes Econômicos'!C9*0.5)*(1-'9-Ajustes Econômicos'!C11*0.5)))</f>
        <v>#VALUE!</v>
      </c>
    </row>
    <row r="66" ht="12.75">
      <c r="B66" s="53" t="s">
        <v>109</v>
      </c>
    </row>
    <row r="67" ht="12.75">
      <c r="B67" s="53" t="s">
        <v>110</v>
      </c>
    </row>
    <row r="68" ht="13.5" thickBot="1"/>
    <row r="69" spans="2:6" ht="15.75">
      <c r="B69" s="243" t="s">
        <v>118</v>
      </c>
      <c r="C69" s="244"/>
      <c r="D69" s="244"/>
      <c r="E69" s="244"/>
      <c r="F69" s="245"/>
    </row>
    <row r="70" spans="2:6" ht="12.75">
      <c r="B70" s="246"/>
      <c r="C70" s="247"/>
      <c r="D70" s="247"/>
      <c r="E70" s="247"/>
      <c r="F70" s="248"/>
    </row>
    <row r="71" spans="2:6" ht="15.75">
      <c r="B71" s="239" t="s">
        <v>347</v>
      </c>
      <c r="C71" s="240"/>
      <c r="D71" s="240"/>
      <c r="E71" s="240"/>
      <c r="F71" s="55" t="e">
        <f>C50+F50+I50+C61+F61</f>
        <v>#VALUE!</v>
      </c>
    </row>
    <row r="72" spans="2:6" ht="15.75">
      <c r="B72" s="239" t="s">
        <v>348</v>
      </c>
      <c r="C72" s="240"/>
      <c r="D72" s="240"/>
      <c r="E72" s="240"/>
      <c r="F72" s="55" t="e">
        <f>C51+F51+I51+C62+F62</f>
        <v>#VALUE!</v>
      </c>
    </row>
    <row r="73" spans="2:6" ht="15.75">
      <c r="B73" s="239" t="s">
        <v>349</v>
      </c>
      <c r="C73" s="240"/>
      <c r="D73" s="240"/>
      <c r="E73" s="240"/>
      <c r="F73" s="55" t="e">
        <f>C52+F52+I52+C63+F63</f>
        <v>#VALUE!</v>
      </c>
    </row>
    <row r="74" spans="2:6" ht="15.75">
      <c r="B74" s="239" t="s">
        <v>350</v>
      </c>
      <c r="C74" s="240"/>
      <c r="D74" s="240"/>
      <c r="E74" s="240"/>
      <c r="F74" s="55" t="e">
        <f>C53+F53+I53+C64+F64</f>
        <v>#VALUE!</v>
      </c>
    </row>
    <row r="75" spans="2:6" ht="15.75">
      <c r="B75" s="239" t="s">
        <v>351</v>
      </c>
      <c r="C75" s="240"/>
      <c r="D75" s="240"/>
      <c r="E75" s="240"/>
      <c r="F75" s="55" t="e">
        <f>F71-'10-Cenário de Referência'!F31</f>
        <v>#VALUE!</v>
      </c>
    </row>
    <row r="76" spans="2:6" ht="15.75">
      <c r="B76" s="54" t="s">
        <v>352</v>
      </c>
      <c r="C76" s="57"/>
      <c r="D76" s="57"/>
      <c r="E76" s="57"/>
      <c r="F76" s="55" t="e">
        <f>F72-'10-Cenário de Referência'!F32</f>
        <v>#VALUE!</v>
      </c>
    </row>
    <row r="77" spans="2:9" ht="15.75">
      <c r="B77" s="239" t="s">
        <v>353</v>
      </c>
      <c r="C77" s="240"/>
      <c r="D77" s="240"/>
      <c r="E77" s="240"/>
      <c r="F77" s="55" t="e">
        <f>F73-'10-Cenário de Referência'!F33</f>
        <v>#VALUE!</v>
      </c>
      <c r="I77" s="26"/>
    </row>
    <row r="78" spans="2:6" ht="16.5" thickBot="1">
      <c r="B78" s="241" t="s">
        <v>354</v>
      </c>
      <c r="C78" s="242"/>
      <c r="D78" s="242"/>
      <c r="E78" s="242"/>
      <c r="F78" s="56" t="e">
        <f>F74-'10-Cenário de Referência'!F34</f>
        <v>#VALUE!</v>
      </c>
    </row>
  </sheetData>
  <sheetProtection/>
  <mergeCells count="18">
    <mergeCell ref="B35:E35"/>
    <mergeCell ref="B37:E37"/>
    <mergeCell ref="B38:E38"/>
    <mergeCell ref="B29:F29"/>
    <mergeCell ref="B30:F30"/>
    <mergeCell ref="B31:E31"/>
    <mergeCell ref="B32:E32"/>
    <mergeCell ref="B33:E33"/>
    <mergeCell ref="B34:E34"/>
    <mergeCell ref="B75:E75"/>
    <mergeCell ref="B77:E77"/>
    <mergeCell ref="B78:E78"/>
    <mergeCell ref="B69:F69"/>
    <mergeCell ref="B70:F70"/>
    <mergeCell ref="B71:E71"/>
    <mergeCell ref="B72:E72"/>
    <mergeCell ref="B73:E73"/>
    <mergeCell ref="B74:E74"/>
  </mergeCells>
  <conditionalFormatting sqref="B2:I38">
    <cfRule type="expression" priority="2" dxfId="22" stopIfTrue="1">
      <formula>$J$1=0</formula>
    </cfRule>
  </conditionalFormatting>
  <conditionalFormatting sqref="E42">
    <cfRule type="expression" priority="1" dxfId="22" stopIfTrue="1">
      <formula>$J$1=0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2">
      <selection activeCell="M20" sqref="M20"/>
    </sheetView>
  </sheetViews>
  <sheetFormatPr defaultColWidth="9.140625" defaultRowHeight="12.75"/>
  <cols>
    <col min="1" max="1" width="9.140625" style="6" customWidth="1"/>
    <col min="2" max="2" width="10.28125" style="6" customWidth="1"/>
    <col min="3" max="3" width="20.8515625" style="6" customWidth="1"/>
    <col min="4" max="4" width="17.421875" style="6" bestFit="1" customWidth="1"/>
    <col min="5" max="5" width="16.28125" style="6" customWidth="1"/>
    <col min="6" max="6" width="9.140625" style="6" customWidth="1"/>
    <col min="7" max="7" width="18.421875" style="6" customWidth="1"/>
    <col min="8" max="8" width="16.28125" style="6" bestFit="1" customWidth="1"/>
    <col min="9" max="9" width="14.00390625" style="6" customWidth="1"/>
    <col min="10" max="11" width="0" style="6" hidden="1" customWidth="1"/>
    <col min="12" max="16384" width="9.140625" style="6" customWidth="1"/>
  </cols>
  <sheetData>
    <row r="1" spans="1:11" ht="12.75">
      <c r="A1" s="7" t="s">
        <v>153</v>
      </c>
      <c r="J1" s="148" t="str">
        <f>'1-Critérios'!C21</f>
        <v>Rótulo Cenário Alternativo 1</v>
      </c>
      <c r="K1" s="148" t="str">
        <f>'1-Critérios'!C22</f>
        <v>Rótulo Cenário Alternativo 1</v>
      </c>
    </row>
    <row r="2" ht="12.75">
      <c r="B2" s="14" t="s">
        <v>313</v>
      </c>
    </row>
    <row r="4" spans="2:8" ht="12.75">
      <c r="B4" s="6" t="s">
        <v>179</v>
      </c>
      <c r="D4" s="15" t="s">
        <v>111</v>
      </c>
      <c r="F4" s="6" t="s">
        <v>155</v>
      </c>
      <c r="H4" s="15" t="s">
        <v>111</v>
      </c>
    </row>
    <row r="5" spans="2:8" ht="12.75">
      <c r="B5" s="6" t="s">
        <v>21</v>
      </c>
      <c r="C5" s="60" t="e">
        <f>'11-Cenario 1'!C13-'10-Cenário de Referência'!C13</f>
        <v>#VALUE!</v>
      </c>
      <c r="D5" s="58" t="e">
        <f>C5/'10-Cenário de Referência'!$C$13</f>
        <v>#VALUE!</v>
      </c>
      <c r="F5" s="6" t="s">
        <v>21</v>
      </c>
      <c r="G5" s="59" t="e">
        <f>'12-Cenario 2'!C13-'11-Cenario 1'!C13</f>
        <v>#VALUE!</v>
      </c>
      <c r="H5" s="58" t="e">
        <f>G5/'11-Cenario 1'!$C$13</f>
        <v>#VALUE!</v>
      </c>
    </row>
    <row r="6" spans="2:8" ht="12.75">
      <c r="B6" s="6" t="s">
        <v>22</v>
      </c>
      <c r="C6" s="60" t="e">
        <f>'11-Cenario 1'!F13-'10-Cenário de Referência'!F13</f>
        <v>#VALUE!</v>
      </c>
      <c r="D6" s="58" t="e">
        <f>IF(C6=0,"-",C6/'10-Cenário de Referência'!$F$13)</f>
        <v>#VALUE!</v>
      </c>
      <c r="F6" s="6" t="s">
        <v>22</v>
      </c>
      <c r="G6" s="59" t="e">
        <f>'12-Cenario 2'!F13-'11-Cenario 1'!F13</f>
        <v>#VALUE!</v>
      </c>
      <c r="H6" s="58" t="e">
        <f>IF(G6=0,"-",G6/'11-Cenario 1'!$F$13)</f>
        <v>#VALUE!</v>
      </c>
    </row>
    <row r="7" spans="2:8" ht="12.75">
      <c r="B7" s="6" t="s">
        <v>23</v>
      </c>
      <c r="C7" s="60" t="e">
        <f>'11-Cenario 1'!I13-'10-Cenário de Referência'!I13</f>
        <v>#VALUE!</v>
      </c>
      <c r="D7" s="58" t="e">
        <f>IF(C7=0,"-",C7/'10-Cenário de Referência'!$I$13)</f>
        <v>#VALUE!</v>
      </c>
      <c r="F7" s="6" t="s">
        <v>23</v>
      </c>
      <c r="G7" s="59" t="e">
        <f>'12-Cenario 2'!I13-'11-Cenario 1'!I13</f>
        <v>#VALUE!</v>
      </c>
      <c r="H7" s="58" t="e">
        <f>IF(G7=0,"-",G7/'11-Cenario 1'!$I$13)</f>
        <v>#VALUE!</v>
      </c>
    </row>
    <row r="8" spans="2:8" ht="12.75">
      <c r="B8" s="6" t="s">
        <v>24</v>
      </c>
      <c r="C8" s="60" t="e">
        <f>'11-Cenario 1'!C24-'10-Cenário de Referência'!C24</f>
        <v>#VALUE!</v>
      </c>
      <c r="D8" s="58" t="e">
        <f>IF(C8=0,"-",C8/'10-Cenário de Referência'!$C$24)</f>
        <v>#VALUE!</v>
      </c>
      <c r="F8" s="6" t="s">
        <v>24</v>
      </c>
      <c r="G8" s="59" t="e">
        <f>'12-Cenario 2'!C24-'11-Cenario 1'!C24</f>
        <v>#VALUE!</v>
      </c>
      <c r="H8" s="58" t="e">
        <f>IF(G8=0,"-",G8/'11-Cenario 1'!$C$24)</f>
        <v>#VALUE!</v>
      </c>
    </row>
    <row r="9" spans="2:8" ht="12.75">
      <c r="B9" s="6" t="s">
        <v>25</v>
      </c>
      <c r="C9" s="60" t="e">
        <f>'11-Cenario 1'!F24-'10-Cenário de Referência'!F24</f>
        <v>#VALUE!</v>
      </c>
      <c r="D9" s="58" t="e">
        <f>IF(C9=0,"-",C9/'10-Cenário de Referência'!$F$24)</f>
        <v>#VALUE!</v>
      </c>
      <c r="F9" s="6" t="s">
        <v>25</v>
      </c>
      <c r="G9" s="59" t="e">
        <f>'12-Cenario 2'!F24-'11-Cenario 1'!F24</f>
        <v>#VALUE!</v>
      </c>
      <c r="H9" s="58" t="e">
        <f>IF(G9=0,"-",G9/'11-Cenario 1'!$F$24)</f>
        <v>#VALUE!</v>
      </c>
    </row>
    <row r="10" spans="2:8" ht="12.75">
      <c r="B10" s="6" t="s">
        <v>112</v>
      </c>
      <c r="C10" s="60" t="e">
        <f>SUM(C5:C9)</f>
        <v>#VALUE!</v>
      </c>
      <c r="D10" s="58" t="e">
        <f>C10/('10-Cenário de Referência'!$C$13+'10-Cenário de Referência'!$F$13+'10-Cenário de Referência'!$I$13+'10-Cenário de Referência'!$C$24+'10-Cenário de Referência'!$F$24)</f>
        <v>#VALUE!</v>
      </c>
      <c r="F10" s="6" t="s">
        <v>112</v>
      </c>
      <c r="G10" s="60" t="e">
        <f>SUM(G5:G9)</f>
        <v>#VALUE!</v>
      </c>
      <c r="H10" s="58" t="e">
        <f>G10/('11-Cenario 1'!$C$13+'11-Cenario 1'!$F$13+'11-Cenario 1'!$I$13+'11-Cenario 1'!$C$24+'11-Cenario 1'!$F$24)</f>
        <v>#VALUE!</v>
      </c>
    </row>
    <row r="11" ht="12.75">
      <c r="D11" s="34"/>
    </row>
    <row r="13" spans="2:8" ht="12.75">
      <c r="B13" s="6" t="s">
        <v>167</v>
      </c>
      <c r="D13" s="15" t="s">
        <v>111</v>
      </c>
      <c r="F13" s="6" t="s">
        <v>156</v>
      </c>
      <c r="G13" s="61"/>
      <c r="H13" s="15" t="s">
        <v>111</v>
      </c>
    </row>
    <row r="14" spans="2:8" ht="12.75">
      <c r="B14" s="6" t="s">
        <v>21</v>
      </c>
      <c r="C14" s="59" t="e">
        <f>'12-Cenario 2'!C13-'10-Cenário de Referência'!C13</f>
        <v>#VALUE!</v>
      </c>
      <c r="D14" s="58" t="e">
        <f>C14/'10-Cenário de Referência'!C13</f>
        <v>#VALUE!</v>
      </c>
      <c r="F14" s="6" t="s">
        <v>21</v>
      </c>
      <c r="G14" s="59" t="e">
        <f>'13-Cenario 3'!C13-'11-Cenario 1'!C13</f>
        <v>#VALUE!</v>
      </c>
      <c r="H14" s="58" t="e">
        <f>G14/'11-Cenario 1'!$C$13</f>
        <v>#VALUE!</v>
      </c>
    </row>
    <row r="15" spans="2:8" ht="12.75">
      <c r="B15" s="6" t="s">
        <v>22</v>
      </c>
      <c r="C15" s="59" t="e">
        <f>'12-Cenario 2'!F13-'10-Cenário de Referência'!F13</f>
        <v>#VALUE!</v>
      </c>
      <c r="D15" s="58" t="e">
        <f>IF(C15=0,"-",C15/'10-Cenário de Referência'!F13)</f>
        <v>#VALUE!</v>
      </c>
      <c r="F15" s="6" t="s">
        <v>22</v>
      </c>
      <c r="G15" s="59" t="e">
        <f>'13-Cenario 3'!F13-'11-Cenario 1'!F13</f>
        <v>#VALUE!</v>
      </c>
      <c r="H15" s="58" t="e">
        <f>IF(G15=0,"-",G15/'11-Cenario 1'!$F$13)</f>
        <v>#VALUE!</v>
      </c>
    </row>
    <row r="16" spans="2:8" ht="12.75">
      <c r="B16" s="6" t="s">
        <v>23</v>
      </c>
      <c r="C16" s="59" t="e">
        <f>'12-Cenario 2'!I13-'10-Cenário de Referência'!I13</f>
        <v>#VALUE!</v>
      </c>
      <c r="D16" s="58" t="e">
        <f>IF(C16=0,"-",C16/'10-Cenário de Referência'!I13)</f>
        <v>#VALUE!</v>
      </c>
      <c r="F16" s="6" t="s">
        <v>23</v>
      </c>
      <c r="G16" s="59" t="e">
        <f>'13-Cenario 3'!I13-'11-Cenario 1'!I13</f>
        <v>#VALUE!</v>
      </c>
      <c r="H16" s="58" t="e">
        <f>IF(G16=0,"-",G16/'11-Cenario 1'!$I$13)</f>
        <v>#VALUE!</v>
      </c>
    </row>
    <row r="17" spans="2:8" ht="12.75">
      <c r="B17" s="6" t="s">
        <v>24</v>
      </c>
      <c r="C17" s="59" t="e">
        <f>'12-Cenario 2'!C24-'10-Cenário de Referência'!C24</f>
        <v>#VALUE!</v>
      </c>
      <c r="D17" s="58" t="e">
        <f>IF(C17=0,"-",C17/'10-Cenário de Referência'!C24)</f>
        <v>#VALUE!</v>
      </c>
      <c r="F17" s="6" t="s">
        <v>24</v>
      </c>
      <c r="G17" s="59" t="e">
        <f>'13-Cenario 3'!C24-'11-Cenario 1'!C24</f>
        <v>#VALUE!</v>
      </c>
      <c r="H17" s="58" t="e">
        <f>IF(G17=0,"-",G17/'11-Cenario 1'!$C$24)</f>
        <v>#VALUE!</v>
      </c>
    </row>
    <row r="18" spans="2:8" ht="12.75">
      <c r="B18" s="6" t="s">
        <v>25</v>
      </c>
      <c r="C18" s="59" t="e">
        <f>'12-Cenario 2'!F24-'10-Cenário de Referência'!F24</f>
        <v>#VALUE!</v>
      </c>
      <c r="D18" s="58" t="e">
        <f>IF(C18=0,"-",C18/'10-Cenário de Referência'!F24)</f>
        <v>#VALUE!</v>
      </c>
      <c r="F18" s="6" t="s">
        <v>25</v>
      </c>
      <c r="G18" s="59" t="e">
        <f>'13-Cenario 3'!F24-'11-Cenario 1'!F24</f>
        <v>#VALUE!</v>
      </c>
      <c r="H18" s="58" t="e">
        <f>IF(G18=0,"-",G18/'11-Cenario 1'!$F$24)</f>
        <v>#VALUE!</v>
      </c>
    </row>
    <row r="19" spans="2:8" ht="12.75">
      <c r="B19" s="6" t="s">
        <v>112</v>
      </c>
      <c r="C19" s="60" t="e">
        <f>SUM(C14:C18)</f>
        <v>#VALUE!</v>
      </c>
      <c r="D19" s="58" t="e">
        <f>C19/('10-Cenário de Referência'!$C$13+'10-Cenário de Referência'!$F$13+'10-Cenário de Referência'!$I$13+'10-Cenário de Referência'!$C$24+'10-Cenário de Referência'!$F$24)</f>
        <v>#VALUE!</v>
      </c>
      <c r="F19" s="6" t="s">
        <v>112</v>
      </c>
      <c r="G19" s="60" t="e">
        <f>SUM(G14:G18)</f>
        <v>#VALUE!</v>
      </c>
      <c r="H19" s="58" t="e">
        <f>G19/('11-Cenario 1'!$C$13+'11-Cenario 1'!$F$13+'11-Cenario 1'!$I$13+'11-Cenario 1'!$C$24+'11-Cenario 1'!$F$24)</f>
        <v>#VALUE!</v>
      </c>
    </row>
    <row r="22" spans="2:8" ht="12.75">
      <c r="B22" s="6" t="s">
        <v>162</v>
      </c>
      <c r="D22" s="15" t="s">
        <v>111</v>
      </c>
      <c r="F22" s="6" t="s">
        <v>147</v>
      </c>
      <c r="G22" s="61"/>
      <c r="H22" s="15" t="s">
        <v>111</v>
      </c>
    </row>
    <row r="23" spans="2:8" ht="12.75">
      <c r="B23" s="6" t="s">
        <v>21</v>
      </c>
      <c r="C23" s="59" t="e">
        <f>'13-Cenario 3'!C13-'10-Cenário de Referência'!C13</f>
        <v>#VALUE!</v>
      </c>
      <c r="D23" s="58" t="e">
        <f>C23/'10-Cenário de Referência'!C13</f>
        <v>#VALUE!</v>
      </c>
      <c r="F23" s="6" t="s">
        <v>21</v>
      </c>
      <c r="G23" s="59" t="e">
        <f>'13-Cenario 3'!C13-'12-Cenario 2'!C13</f>
        <v>#VALUE!</v>
      </c>
      <c r="H23" s="58" t="e">
        <f>G23/'12-Cenario 2'!$C$13</f>
        <v>#VALUE!</v>
      </c>
    </row>
    <row r="24" spans="2:8" ht="12.75">
      <c r="B24" s="6" t="s">
        <v>22</v>
      </c>
      <c r="C24" s="59" t="e">
        <f>'13-Cenario 3'!F13-'10-Cenário de Referência'!F13</f>
        <v>#VALUE!</v>
      </c>
      <c r="D24" s="58" t="e">
        <f>IF(C24=0,"-",C24/'10-Cenário de Referência'!F13)</f>
        <v>#VALUE!</v>
      </c>
      <c r="F24" s="6" t="s">
        <v>22</v>
      </c>
      <c r="G24" s="59" t="e">
        <f>'13-Cenario 3'!F13-'12-Cenario 2'!F13</f>
        <v>#VALUE!</v>
      </c>
      <c r="H24" s="58" t="e">
        <f>IF(G24=0,"-",G24/'12-Cenario 2'!$F$13)</f>
        <v>#VALUE!</v>
      </c>
    </row>
    <row r="25" spans="2:8" ht="12.75">
      <c r="B25" s="6" t="s">
        <v>23</v>
      </c>
      <c r="C25" s="59" t="e">
        <f>'13-Cenario 3'!I13-'10-Cenário de Referência'!I13</f>
        <v>#VALUE!</v>
      </c>
      <c r="D25" s="58" t="e">
        <f>IF(C25=0,"-",C25/'10-Cenário de Referência'!I13)</f>
        <v>#VALUE!</v>
      </c>
      <c r="F25" s="6" t="s">
        <v>23</v>
      </c>
      <c r="G25" s="59" t="e">
        <f>'13-Cenario 3'!I13-'12-Cenario 2'!I13</f>
        <v>#VALUE!</v>
      </c>
      <c r="H25" s="58" t="e">
        <f>IF(G25=0,"-",G25/'12-Cenario 2'!$I$13)</f>
        <v>#VALUE!</v>
      </c>
    </row>
    <row r="26" spans="2:8" ht="12.75">
      <c r="B26" s="6" t="s">
        <v>24</v>
      </c>
      <c r="C26" s="59" t="e">
        <f>'13-Cenario 3'!C24-'10-Cenário de Referência'!C24</f>
        <v>#VALUE!</v>
      </c>
      <c r="D26" s="58" t="e">
        <f>IF(C26=0,"-",C26/'10-Cenário de Referência'!C24)</f>
        <v>#VALUE!</v>
      </c>
      <c r="F26" s="6" t="s">
        <v>24</v>
      </c>
      <c r="G26" s="59" t="e">
        <f>'13-Cenario 3'!C24-'12-Cenario 2'!C24</f>
        <v>#VALUE!</v>
      </c>
      <c r="H26" s="58" t="e">
        <f>IF(G26=0,"-",G26/'12-Cenario 2'!$C$24)</f>
        <v>#VALUE!</v>
      </c>
    </row>
    <row r="27" spans="2:8" ht="12.75">
      <c r="B27" s="6" t="s">
        <v>25</v>
      </c>
      <c r="C27" s="59" t="e">
        <f>'13-Cenario 3'!F24-'10-Cenário de Referência'!F24</f>
        <v>#VALUE!</v>
      </c>
      <c r="D27" s="58" t="e">
        <f>IF(C27=0,"-",C27/'10-Cenário de Referência'!F24)</f>
        <v>#VALUE!</v>
      </c>
      <c r="F27" s="6" t="s">
        <v>25</v>
      </c>
      <c r="G27" s="59" t="e">
        <f>'13-Cenario 3'!F24-'12-Cenario 2'!F24</f>
        <v>#VALUE!</v>
      </c>
      <c r="H27" s="58" t="e">
        <f>IF(G27=0,"-",G27/'12-Cenario 2'!$F$24)</f>
        <v>#VALUE!</v>
      </c>
    </row>
    <row r="28" spans="2:8" ht="12.75">
      <c r="B28" s="6" t="s">
        <v>112</v>
      </c>
      <c r="C28" s="60" t="e">
        <f>SUM(C23:C27)</f>
        <v>#VALUE!</v>
      </c>
      <c r="D28" s="58" t="e">
        <f>C28/('10-Cenário de Referência'!$C$13+'10-Cenário de Referência'!$F$13+'10-Cenário de Referência'!$I$13+'10-Cenário de Referência'!$C$24+'10-Cenário de Referência'!$F$24)</f>
        <v>#VALUE!</v>
      </c>
      <c r="F28" s="6" t="s">
        <v>112</v>
      </c>
      <c r="G28" s="60" t="e">
        <f>SUM(G23:G27)</f>
        <v>#VALUE!</v>
      </c>
      <c r="H28" s="58" t="e">
        <f>G28/('12-Cenario 2'!$C$13+'12-Cenario 2'!$F$13+'12-Cenario 2'!$I$13+'12-Cenario 2'!$C$24+'12-Cenario 2'!$F$24)</f>
        <v>#VALUE!</v>
      </c>
    </row>
    <row r="30" ht="12.75">
      <c r="B30" s="6" t="s">
        <v>113</v>
      </c>
    </row>
    <row r="33" ht="12.75">
      <c r="B33" s="14" t="s">
        <v>314</v>
      </c>
    </row>
    <row r="35" spans="2:8" ht="12.75">
      <c r="B35" s="6" t="s">
        <v>179</v>
      </c>
      <c r="D35" s="15" t="s">
        <v>111</v>
      </c>
      <c r="F35" s="6" t="s">
        <v>155</v>
      </c>
      <c r="H35" s="15" t="s">
        <v>111</v>
      </c>
    </row>
    <row r="36" spans="2:8" ht="12.75">
      <c r="B36" s="6" t="s">
        <v>21</v>
      </c>
      <c r="C36" s="60" t="e">
        <f>'11-Cenario 1'!C$53-'10-Cenário de Referência'!C$13</f>
        <v>#VALUE!</v>
      </c>
      <c r="D36" s="58" t="e">
        <f>C36/'10-Cenário de Referência'!$C$13</f>
        <v>#VALUE!</v>
      </c>
      <c r="F36" s="6" t="s">
        <v>21</v>
      </c>
      <c r="G36" s="59" t="e">
        <f>'12-Cenario 2'!C53-'11-Cenario 1'!C53</f>
        <v>#VALUE!</v>
      </c>
      <c r="H36" s="58" t="e">
        <f>G36/'11-Cenario 1'!$C$53</f>
        <v>#VALUE!</v>
      </c>
    </row>
    <row r="37" spans="2:8" ht="12.75">
      <c r="B37" s="6" t="s">
        <v>22</v>
      </c>
      <c r="C37" s="60" t="e">
        <f>'11-Cenario 1'!F$53-'10-Cenário de Referência'!F$13</f>
        <v>#VALUE!</v>
      </c>
      <c r="D37" s="58" t="e">
        <f>IF(C37=0,"-",C37/'10-Cenário de Referência'!$F$13)</f>
        <v>#VALUE!</v>
      </c>
      <c r="F37" s="6" t="s">
        <v>22</v>
      </c>
      <c r="G37" s="59" t="e">
        <f>'12-Cenario 2'!F53-'11-Cenario 1'!F53</f>
        <v>#VALUE!</v>
      </c>
      <c r="H37" s="58" t="e">
        <f>IF(G37=0,"-",G37/'11-Cenario 1'!$F$13)</f>
        <v>#VALUE!</v>
      </c>
    </row>
    <row r="38" spans="2:8" ht="12.75">
      <c r="B38" s="6" t="s">
        <v>23</v>
      </c>
      <c r="C38" s="60" t="e">
        <f>'11-Cenario 1'!I$53-'10-Cenário de Referência'!I$13</f>
        <v>#VALUE!</v>
      </c>
      <c r="D38" s="58" t="e">
        <f>IF(C38=0,"-",C38/'10-Cenário de Referência'!$I$13)</f>
        <v>#VALUE!</v>
      </c>
      <c r="F38" s="6" t="s">
        <v>23</v>
      </c>
      <c r="G38" s="59" t="e">
        <f>'12-Cenario 2'!I53-'11-Cenario 1'!I53</f>
        <v>#VALUE!</v>
      </c>
      <c r="H38" s="58" t="e">
        <f>IF(G38=0,"-",G38/'11-Cenario 1'!$I$13)</f>
        <v>#VALUE!</v>
      </c>
    </row>
    <row r="39" spans="2:8" ht="12.75">
      <c r="B39" s="6" t="s">
        <v>24</v>
      </c>
      <c r="C39" s="60" t="e">
        <f>'11-Cenario 1'!C$64-'10-Cenário de Referência'!C$24</f>
        <v>#VALUE!</v>
      </c>
      <c r="D39" s="58" t="e">
        <f>IF(C39=0,"-",C39/'10-Cenário de Referência'!$C$24)</f>
        <v>#VALUE!</v>
      </c>
      <c r="F39" s="6" t="s">
        <v>24</v>
      </c>
      <c r="G39" s="59" t="e">
        <f>'12-Cenario 2'!C64-'11-Cenario 1'!C64</f>
        <v>#VALUE!</v>
      </c>
      <c r="H39" s="58" t="e">
        <f>IF(G39=0,"-",G39/'11-Cenario 1'!$C$24)</f>
        <v>#VALUE!</v>
      </c>
    </row>
    <row r="40" spans="2:8" ht="12.75">
      <c r="B40" s="6" t="s">
        <v>25</v>
      </c>
      <c r="C40" s="60" t="e">
        <f>'11-Cenario 1'!F$64-'10-Cenário de Referência'!F$24</f>
        <v>#VALUE!</v>
      </c>
      <c r="D40" s="58" t="e">
        <f>IF(C40=0,"-",C40/'10-Cenário de Referência'!$F$24)</f>
        <v>#VALUE!</v>
      </c>
      <c r="F40" s="6" t="s">
        <v>25</v>
      </c>
      <c r="G40" s="59" t="e">
        <f>'12-Cenario 2'!F64-'11-Cenario 1'!F64</f>
        <v>#VALUE!</v>
      </c>
      <c r="H40" s="58" t="e">
        <f>IF(G40=0,"-",G40/'11-Cenario 1'!$F$24)</f>
        <v>#VALUE!</v>
      </c>
    </row>
    <row r="41" spans="2:8" ht="12.75">
      <c r="B41" s="6" t="s">
        <v>112</v>
      </c>
      <c r="C41" s="60" t="e">
        <f>SUM(C36:C40)</f>
        <v>#VALUE!</v>
      </c>
      <c r="D41" s="58" t="e">
        <f>C41/('10-Cenário de Referência'!$C$13+'10-Cenário de Referência'!$F$13+'10-Cenário de Referência'!$I$13+'10-Cenário de Referência'!$C$24+'10-Cenário de Referência'!$F$24)</f>
        <v>#VALUE!</v>
      </c>
      <c r="F41" s="6" t="s">
        <v>112</v>
      </c>
      <c r="G41" s="60" t="e">
        <f>SUM(G36:G40)</f>
        <v>#VALUE!</v>
      </c>
      <c r="H41" s="58" t="e">
        <f>G41/('11-Cenario 1'!$C$53+'11-Cenario 1'!$F$53+'11-Cenario 1'!$I$53+'11-Cenario 1'!$C$64+'11-Cenario 1'!$F$64)</f>
        <v>#VALUE!</v>
      </c>
    </row>
    <row r="42" ht="12.75">
      <c r="D42" s="34"/>
    </row>
    <row r="44" spans="2:8" ht="12.75">
      <c r="B44" s="6" t="s">
        <v>167</v>
      </c>
      <c r="D44" s="15" t="s">
        <v>111</v>
      </c>
      <c r="F44" s="6" t="s">
        <v>156</v>
      </c>
      <c r="G44" s="61"/>
      <c r="H44" s="15" t="s">
        <v>111</v>
      </c>
    </row>
    <row r="45" spans="2:8" ht="12.75">
      <c r="B45" s="6" t="s">
        <v>21</v>
      </c>
      <c r="C45" s="60" t="e">
        <f>'12-Cenario 2'!C$53-'10-Cenário de Referência'!C$13</f>
        <v>#VALUE!</v>
      </c>
      <c r="D45" s="58" t="e">
        <f>C45/'10-Cenário de Referência'!$C$13</f>
        <v>#VALUE!</v>
      </c>
      <c r="F45" s="6" t="s">
        <v>21</v>
      </c>
      <c r="G45" s="59" t="e">
        <f>'13-Cenario 3'!C53-'11-Cenario 1'!C53</f>
        <v>#VALUE!</v>
      </c>
      <c r="H45" s="58" t="e">
        <f>G45/'11-Cenario 1'!$C$53</f>
        <v>#VALUE!</v>
      </c>
    </row>
    <row r="46" spans="2:8" ht="12.75">
      <c r="B46" s="6" t="s">
        <v>22</v>
      </c>
      <c r="C46" s="60" t="e">
        <f>'12-Cenario 2'!F$53-'10-Cenário de Referência'!F$13</f>
        <v>#VALUE!</v>
      </c>
      <c r="D46" s="58" t="e">
        <f>IF(C46=0,"-",C46/'10-Cenário de Referência'!F44)</f>
        <v>#VALUE!</v>
      </c>
      <c r="F46" s="6" t="s">
        <v>22</v>
      </c>
      <c r="G46" s="59" t="e">
        <f>'13-Cenario 3'!F53-'11-Cenario 1'!F53</f>
        <v>#VALUE!</v>
      </c>
      <c r="H46" s="58" t="e">
        <f>IF(G46=0,"-",G46/'11-Cenario 1'!$F$13)</f>
        <v>#VALUE!</v>
      </c>
    </row>
    <row r="47" spans="2:8" ht="12.75">
      <c r="B47" s="6" t="s">
        <v>23</v>
      </c>
      <c r="C47" s="60" t="e">
        <f>'12-Cenario 2'!I$53-'10-Cenário de Referência'!I$13</f>
        <v>#VALUE!</v>
      </c>
      <c r="D47" s="58" t="e">
        <f>IF(C47=0,"-",C47/'10-Cenário de Referência'!I44)</f>
        <v>#VALUE!</v>
      </c>
      <c r="F47" s="6" t="s">
        <v>23</v>
      </c>
      <c r="G47" s="59" t="e">
        <f>'13-Cenario 3'!I53-'11-Cenario 1'!I53</f>
        <v>#VALUE!</v>
      </c>
      <c r="H47" s="58" t="e">
        <f>IF(G47=0,"-",G47/'11-Cenario 1'!$I$13)</f>
        <v>#VALUE!</v>
      </c>
    </row>
    <row r="48" spans="2:8" ht="12.75">
      <c r="B48" s="6" t="s">
        <v>24</v>
      </c>
      <c r="C48" s="60" t="e">
        <f>'12-Cenario 2'!C$64-'10-Cenário de Referência'!C$24</f>
        <v>#VALUE!</v>
      </c>
      <c r="D48" s="58" t="e">
        <f>IF(C48=0,"-",C48/'10-Cenário de Referência'!C55)</f>
        <v>#VALUE!</v>
      </c>
      <c r="F48" s="6" t="s">
        <v>24</v>
      </c>
      <c r="G48" s="59" t="e">
        <f>'13-Cenario 3'!C64-'11-Cenario 1'!C64</f>
        <v>#VALUE!</v>
      </c>
      <c r="H48" s="58" t="e">
        <f>IF(G48=0,"-",G48/'11-Cenario 1'!$C$24)</f>
        <v>#VALUE!</v>
      </c>
    </row>
    <row r="49" spans="2:8" ht="12.75">
      <c r="B49" s="6" t="s">
        <v>25</v>
      </c>
      <c r="C49" s="60" t="e">
        <f>'12-Cenario 2'!F$64-'10-Cenário de Referência'!F$24</f>
        <v>#VALUE!</v>
      </c>
      <c r="D49" s="58" t="e">
        <f>IF(C49=0,"-",C49/'10-Cenário de Referência'!F55)</f>
        <v>#VALUE!</v>
      </c>
      <c r="F49" s="6" t="s">
        <v>25</v>
      </c>
      <c r="G49" s="59" t="e">
        <f>'13-Cenario 3'!F64-'11-Cenario 1'!F64</f>
        <v>#VALUE!</v>
      </c>
      <c r="H49" s="58" t="e">
        <f>IF(G49=0,"-",G49/'11-Cenario 1'!$F$24)</f>
        <v>#VALUE!</v>
      </c>
    </row>
    <row r="50" spans="2:8" ht="12.75">
      <c r="B50" s="6" t="s">
        <v>112</v>
      </c>
      <c r="C50" s="60" t="e">
        <f>SUM(C45:C49)</f>
        <v>#VALUE!</v>
      </c>
      <c r="D50" s="58" t="e">
        <f>C50/('10-Cenário de Referência'!$C$13+'10-Cenário de Referência'!$F$13+'10-Cenário de Referência'!$I$13+'10-Cenário de Referência'!$C$24+'10-Cenário de Referência'!$F$24)</f>
        <v>#VALUE!</v>
      </c>
      <c r="F50" s="6" t="s">
        <v>112</v>
      </c>
      <c r="G50" s="60" t="e">
        <f>SUM(G45:G49)</f>
        <v>#VALUE!</v>
      </c>
      <c r="H50" s="58" t="e">
        <f>G50/('11-Cenario 1'!$C$53+'11-Cenario 1'!$F$53+'11-Cenario 1'!$I$53+'11-Cenario 1'!$C$64+'11-Cenario 1'!$F$64)</f>
        <v>#VALUE!</v>
      </c>
    </row>
    <row r="53" spans="2:8" ht="12.75">
      <c r="B53" s="6" t="s">
        <v>162</v>
      </c>
      <c r="D53" s="15" t="s">
        <v>111</v>
      </c>
      <c r="F53" s="6" t="s">
        <v>147</v>
      </c>
      <c r="G53" s="61"/>
      <c r="H53" s="15" t="s">
        <v>111</v>
      </c>
    </row>
    <row r="54" spans="2:8" ht="12.75">
      <c r="B54" s="6" t="s">
        <v>21</v>
      </c>
      <c r="C54" s="60" t="e">
        <f>'13-Cenario 3'!C$53-'10-Cenário de Referência'!C$13</f>
        <v>#VALUE!</v>
      </c>
      <c r="D54" s="58" t="e">
        <f>C54/'10-Cenário de Referência'!$C$13</f>
        <v>#VALUE!</v>
      </c>
      <c r="F54" s="6" t="s">
        <v>21</v>
      </c>
      <c r="G54" s="59" t="e">
        <f>'13-Cenario 3'!C53-'12-Cenario 2'!C53</f>
        <v>#VALUE!</v>
      </c>
      <c r="H54" s="58" t="e">
        <f>G54/'12-Cenario 2'!C53</f>
        <v>#VALUE!</v>
      </c>
    </row>
    <row r="55" spans="2:8" ht="12.75">
      <c r="B55" s="6" t="s">
        <v>22</v>
      </c>
      <c r="C55" s="60" t="e">
        <f>'13-Cenario 3'!F$53-'10-Cenário de Referência'!F$13</f>
        <v>#VALUE!</v>
      </c>
      <c r="D55" s="58" t="e">
        <f>IF(C55=0,"-",C55/'10-Cenário de Referência'!F44)</f>
        <v>#VALUE!</v>
      </c>
      <c r="F55" s="6" t="s">
        <v>22</v>
      </c>
      <c r="G55" s="59" t="e">
        <f>'13-Cenario 3'!F53-'12-Cenario 2'!F53</f>
        <v>#VALUE!</v>
      </c>
      <c r="H55" s="58" t="e">
        <f>IF(G55=0,"-",G55/'12-Cenario 2'!$F$13)</f>
        <v>#VALUE!</v>
      </c>
    </row>
    <row r="56" spans="2:8" ht="12.75">
      <c r="B56" s="6" t="s">
        <v>23</v>
      </c>
      <c r="C56" s="60" t="e">
        <f>'13-Cenario 3'!I$53-'10-Cenário de Referência'!I$13</f>
        <v>#VALUE!</v>
      </c>
      <c r="D56" s="58" t="e">
        <f>IF(C56=0,"-",C56/'10-Cenário de Referência'!I44)</f>
        <v>#VALUE!</v>
      </c>
      <c r="F56" s="6" t="s">
        <v>23</v>
      </c>
      <c r="G56" s="59" t="e">
        <f>'13-Cenario 3'!I53-'12-Cenario 2'!I53</f>
        <v>#VALUE!</v>
      </c>
      <c r="H56" s="58" t="e">
        <f>IF(G56=0,"-",G56/'12-Cenario 2'!$I$13)</f>
        <v>#VALUE!</v>
      </c>
    </row>
    <row r="57" spans="2:8" ht="12.75">
      <c r="B57" s="6" t="s">
        <v>24</v>
      </c>
      <c r="C57" s="60" t="e">
        <f>'13-Cenario 3'!C$64-'10-Cenário de Referência'!C$24</f>
        <v>#VALUE!</v>
      </c>
      <c r="D57" s="58" t="e">
        <f>IF(C57=0,"-",C57/'10-Cenário de Referência'!C55)</f>
        <v>#VALUE!</v>
      </c>
      <c r="F57" s="6" t="s">
        <v>24</v>
      </c>
      <c r="G57" s="59" t="e">
        <f>'13-Cenario 3'!C64-'12-Cenario 2'!C64</f>
        <v>#VALUE!</v>
      </c>
      <c r="H57" s="58" t="e">
        <f>IF(G57=0,"-",G57/'12-Cenario 2'!$C$24)</f>
        <v>#VALUE!</v>
      </c>
    </row>
    <row r="58" spans="2:8" ht="12.75">
      <c r="B58" s="6" t="s">
        <v>25</v>
      </c>
      <c r="C58" s="60" t="e">
        <f>'13-Cenario 3'!F$64-'10-Cenário de Referência'!F$24</f>
        <v>#VALUE!</v>
      </c>
      <c r="D58" s="58" t="e">
        <f>IF(C58=0,"-",C58/'10-Cenário de Referência'!F55)</f>
        <v>#VALUE!</v>
      </c>
      <c r="F58" s="6" t="s">
        <v>25</v>
      </c>
      <c r="G58" s="59" t="e">
        <f>'13-Cenario 3'!F64-'12-Cenario 2'!F64</f>
        <v>#VALUE!</v>
      </c>
      <c r="H58" s="58" t="e">
        <f>IF(G58=0,"-",G58/'12-Cenario 2'!$F$24)</f>
        <v>#VALUE!</v>
      </c>
    </row>
    <row r="59" spans="2:8" ht="12.75">
      <c r="B59" s="6" t="s">
        <v>112</v>
      </c>
      <c r="C59" s="60" t="e">
        <f>SUM(C54:C58)</f>
        <v>#VALUE!</v>
      </c>
      <c r="D59" s="58" t="e">
        <f>C59/('10-Cenário de Referência'!$C$13+'10-Cenário de Referência'!$F$13+'10-Cenário de Referência'!$I$13+'10-Cenário de Referência'!$C$24+'10-Cenário de Referência'!$F$24)</f>
        <v>#VALUE!</v>
      </c>
      <c r="F59" s="6" t="s">
        <v>112</v>
      </c>
      <c r="G59" s="60" t="e">
        <f>SUM(G54:G58)</f>
        <v>#VALUE!</v>
      </c>
      <c r="H59" s="58" t="e">
        <f>G59/('12-Cenario 2'!$C$53+'12-Cenario 2'!$F$53+'12-Cenario 2'!$I$53+'12-Cenario 2'!$C$64+'12-Cenario 2'!$F$64)</f>
        <v>#VALUE!</v>
      </c>
    </row>
    <row r="61" ht="12.75">
      <c r="B61" s="6" t="s">
        <v>113</v>
      </c>
    </row>
  </sheetData>
  <sheetProtection/>
  <conditionalFormatting sqref="B22:H28 F13:H19">
    <cfRule type="expression" priority="14" dxfId="8" stopIfTrue="1">
      <formula>$K$1=0</formula>
    </cfRule>
  </conditionalFormatting>
  <conditionalFormatting sqref="B13:D19 F4:H10">
    <cfRule type="expression" priority="13" dxfId="8" stopIfTrue="1">
      <formula>$J$1=0</formula>
    </cfRule>
  </conditionalFormatting>
  <conditionalFormatting sqref="C53:D53 B53:B59 G44:G49 F44:F50 H44:H50 E53:F59 G53:G58 H53:H59">
    <cfRule type="expression" priority="12" dxfId="8" stopIfTrue="1">
      <formula>$K$1=0</formula>
    </cfRule>
  </conditionalFormatting>
  <conditionalFormatting sqref="G35:G40 F35:F41 H35:H41 B44:B50 C44:D44">
    <cfRule type="expression" priority="11" dxfId="8" stopIfTrue="1">
      <formula>$J$1=0</formula>
    </cfRule>
  </conditionalFormatting>
  <conditionalFormatting sqref="H36:H41">
    <cfRule type="expression" priority="10" dxfId="8" stopIfTrue="1">
      <formula>$J$1=0</formula>
    </cfRule>
  </conditionalFormatting>
  <conditionalFormatting sqref="H45:H50">
    <cfRule type="expression" priority="9" dxfId="8" stopIfTrue="1">
      <formula>$J$1=0</formula>
    </cfRule>
  </conditionalFormatting>
  <conditionalFormatting sqref="H45:H50">
    <cfRule type="expression" priority="8" dxfId="8" stopIfTrue="1">
      <formula>$J$1=0</formula>
    </cfRule>
  </conditionalFormatting>
  <conditionalFormatting sqref="H59">
    <cfRule type="expression" priority="7" dxfId="8" stopIfTrue="1">
      <formula>$J$1=0</formula>
    </cfRule>
  </conditionalFormatting>
  <conditionalFormatting sqref="H59">
    <cfRule type="expression" priority="6" dxfId="8" stopIfTrue="1">
      <formula>$J$1=0</formula>
    </cfRule>
  </conditionalFormatting>
  <conditionalFormatting sqref="D46:D49">
    <cfRule type="expression" priority="5" dxfId="8" stopIfTrue="1">
      <formula>$J$1=0</formula>
    </cfRule>
  </conditionalFormatting>
  <conditionalFormatting sqref="D55:D58">
    <cfRule type="expression" priority="4" dxfId="8" stopIfTrue="1">
      <formula>$K$1=0</formula>
    </cfRule>
  </conditionalFormatting>
  <conditionalFormatting sqref="H37:H40">
    <cfRule type="expression" priority="3" dxfId="8" stopIfTrue="1">
      <formula>$J$1=0</formula>
    </cfRule>
  </conditionalFormatting>
  <conditionalFormatting sqref="H46:H49">
    <cfRule type="expression" priority="2" dxfId="8" stopIfTrue="1">
      <formula>$K$1=0</formula>
    </cfRule>
  </conditionalFormatting>
  <conditionalFormatting sqref="H55:H58">
    <cfRule type="expression" priority="1" dxfId="8" stopIfTrue="1">
      <formula>$K$1=0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8515625" style="0" customWidth="1"/>
    <col min="2" max="2" width="23.00390625" style="0" customWidth="1"/>
    <col min="3" max="3" width="18.00390625" style="0" customWidth="1"/>
    <col min="4" max="4" width="11.421875" style="0" customWidth="1"/>
    <col min="5" max="5" width="7.421875" style="0" customWidth="1"/>
    <col min="6" max="6" width="24.7109375" style="0" customWidth="1"/>
    <col min="7" max="7" width="20.421875" style="0" customWidth="1"/>
    <col min="8" max="8" width="12.00390625" style="0" customWidth="1"/>
  </cols>
  <sheetData>
    <row r="1" spans="2:10" ht="20.25">
      <c r="B1" s="136" t="s">
        <v>176</v>
      </c>
      <c r="D1" s="137"/>
      <c r="E1" s="136" t="str">
        <f>Programação!D8</f>
        <v>Nome do fármaco avaliado para Nome da doença</v>
      </c>
      <c r="G1" s="136"/>
      <c r="H1" s="136"/>
      <c r="I1" s="3"/>
      <c r="J1" s="3"/>
    </row>
    <row r="2" ht="5.25" customHeight="1"/>
    <row r="3" spans="2:8" ht="12.75">
      <c r="B3" s="138" t="s">
        <v>172</v>
      </c>
      <c r="C3" s="127" t="str">
        <f>'1-Critérios'!C14</f>
        <v>Perspectiva escolhida para a análise</v>
      </c>
      <c r="D3" s="127"/>
      <c r="E3" s="127"/>
      <c r="F3" s="128" t="s">
        <v>164</v>
      </c>
      <c r="G3" s="128"/>
      <c r="H3" s="129"/>
    </row>
    <row r="4" spans="1:8" ht="12.75">
      <c r="A4" s="3"/>
      <c r="B4" s="139"/>
      <c r="C4" s="2"/>
      <c r="D4" s="2"/>
      <c r="E4" s="2"/>
      <c r="F4" s="131" t="s">
        <v>168</v>
      </c>
      <c r="G4" s="251" t="str">
        <f>'1-Critérios'!C19</f>
        <v>Rótulo Cenário Referência</v>
      </c>
      <c r="H4" s="252"/>
    </row>
    <row r="5" spans="2:8" ht="12.75">
      <c r="B5" s="140" t="s">
        <v>173</v>
      </c>
      <c r="C5" s="2" t="str">
        <f>Programação!C9</f>
        <v>5 anos</v>
      </c>
      <c r="D5" s="2"/>
      <c r="E5" s="2"/>
      <c r="F5" s="131" t="s">
        <v>169</v>
      </c>
      <c r="G5" s="251" t="str">
        <f>'1-Critérios'!C20</f>
        <v>Rótulo Cenário Alternativo 1</v>
      </c>
      <c r="H5" s="252"/>
    </row>
    <row r="6" spans="1:8" ht="12.75">
      <c r="A6" s="3"/>
      <c r="B6" s="139"/>
      <c r="C6" s="2"/>
      <c r="D6" s="2"/>
      <c r="E6" s="2"/>
      <c r="F6" s="131" t="s">
        <v>170</v>
      </c>
      <c r="G6" s="251" t="str">
        <f>'1-Critérios'!C21</f>
        <v>Rótulo Cenário Alternativo 1</v>
      </c>
      <c r="H6" s="252"/>
    </row>
    <row r="7" spans="2:8" ht="12.75">
      <c r="B7" s="132" t="s">
        <v>177</v>
      </c>
      <c r="C7" s="142" t="e">
        <f>'4-Restrições - Demandas'!C19</f>
        <v>#VALUE!</v>
      </c>
      <c r="D7" s="2"/>
      <c r="E7" s="2"/>
      <c r="F7" s="131" t="s">
        <v>171</v>
      </c>
      <c r="G7" s="251" t="str">
        <f>'1-Critérios'!C22</f>
        <v>Rótulo Cenário Alternativo 1</v>
      </c>
      <c r="H7" s="252"/>
    </row>
    <row r="8" spans="2:8" ht="12.75">
      <c r="B8" s="130"/>
      <c r="C8" s="2"/>
      <c r="D8" s="2"/>
      <c r="E8" s="2"/>
      <c r="F8" s="2"/>
      <c r="G8" s="2"/>
      <c r="H8" s="133"/>
    </row>
    <row r="9" spans="2:8" ht="12.75">
      <c r="B9" s="132" t="s">
        <v>174</v>
      </c>
      <c r="C9" s="2" t="str">
        <f>IF(AVERAGE('9-Ajustes Econômicos'!C5:'9-Ajustes Econômicos'!C9)&gt;0,"Sim","Não")</f>
        <v>Não</v>
      </c>
      <c r="D9" s="2"/>
      <c r="E9" s="2"/>
      <c r="F9" s="131" t="s">
        <v>165</v>
      </c>
      <c r="G9" s="249" t="str">
        <f>IF(C9="Sim",AVERAGE('9-Ajustes Econômicos'!C5:'9-Ajustes Econômicos'!C9),"Não se aplica")</f>
        <v>Não se aplica</v>
      </c>
      <c r="H9" s="250"/>
    </row>
    <row r="10" spans="2:8" ht="12.75">
      <c r="B10" s="132" t="s">
        <v>175</v>
      </c>
      <c r="C10" s="2" t="str">
        <f>IF('9-Ajustes Econômicos'!C11&gt;0,"Sim","Não")</f>
        <v>Não</v>
      </c>
      <c r="D10" s="2"/>
      <c r="E10" s="2"/>
      <c r="F10" s="131" t="s">
        <v>166</v>
      </c>
      <c r="G10" s="249" t="str">
        <f>IF(C10="Sim",'9-Ajustes Econômicos'!C11,"Não se aplica")</f>
        <v>Não se aplica</v>
      </c>
      <c r="H10" s="250"/>
    </row>
    <row r="11" spans="2:8" ht="12.75">
      <c r="B11" s="134" t="s">
        <v>317</v>
      </c>
      <c r="C11" s="231"/>
      <c r="D11" s="232" t="s">
        <v>117</v>
      </c>
      <c r="E11" s="123"/>
      <c r="F11" s="135"/>
      <c r="G11" s="213"/>
      <c r="H11" s="214"/>
    </row>
    <row r="12" ht="5.25" customHeight="1"/>
    <row r="13" ht="12.75">
      <c r="B13" s="3" t="str">
        <f>'14-IO Incremental'!B2</f>
        <v>Impacto Orçamentário Incremental: sem custos evitados</v>
      </c>
    </row>
    <row r="14" ht="5.25" customHeight="1"/>
    <row r="15" spans="2:8" ht="12.75">
      <c r="B15" s="121" t="str">
        <f>'14-IO Incremental'!B4</f>
        <v>Cenário 1 vs Cenário de referência</v>
      </c>
      <c r="C15" s="121"/>
      <c r="D15" s="121" t="str">
        <f>'14-IO Incremental'!D4</f>
        <v>Diferença %</v>
      </c>
      <c r="F15" s="121" t="str">
        <f>'14-IO Incremental'!F4</f>
        <v>Cenário 2 vs Cenário 1</v>
      </c>
      <c r="G15" s="121"/>
      <c r="H15" s="143" t="str">
        <f>'14-IO Incremental'!H4</f>
        <v>Diferença %</v>
      </c>
    </row>
    <row r="16" spans="2:8" ht="12.75">
      <c r="B16" t="str">
        <f>'14-IO Incremental'!B5</f>
        <v>Ano 1</v>
      </c>
      <c r="C16" s="120" t="e">
        <f>'14-IO Incremental'!C5</f>
        <v>#VALUE!</v>
      </c>
      <c r="D16" s="118" t="e">
        <f>'14-IO Incremental'!D5</f>
        <v>#VALUE!</v>
      </c>
      <c r="F16" t="str">
        <f>'14-IO Incremental'!F5</f>
        <v>Ano 1</v>
      </c>
      <c r="G16" s="120" t="e">
        <f>'14-IO Incremental'!G5</f>
        <v>#VALUE!</v>
      </c>
      <c r="H16" s="1" t="e">
        <f>'14-IO Incremental'!H5</f>
        <v>#VALUE!</v>
      </c>
    </row>
    <row r="17" spans="2:8" ht="12.75">
      <c r="B17" t="str">
        <f>'14-IO Incremental'!B6</f>
        <v>Ano 2</v>
      </c>
      <c r="C17" s="227" t="e">
        <f>'14-IO Incremental'!C6</f>
        <v>#VALUE!</v>
      </c>
      <c r="D17" s="228" t="e">
        <f>'14-IO Incremental'!D6</f>
        <v>#VALUE!</v>
      </c>
      <c r="F17" t="str">
        <f>'14-IO Incremental'!F6</f>
        <v>Ano 2</v>
      </c>
      <c r="G17" s="120" t="e">
        <f>'14-IO Incremental'!G6</f>
        <v>#VALUE!</v>
      </c>
      <c r="H17" s="229" t="e">
        <f>'14-IO Incremental'!H6</f>
        <v>#VALUE!</v>
      </c>
    </row>
    <row r="18" spans="2:8" ht="12.75">
      <c r="B18" t="str">
        <f>'14-IO Incremental'!B7</f>
        <v>Ano 3</v>
      </c>
      <c r="C18" s="227" t="e">
        <f>'14-IO Incremental'!C7</f>
        <v>#VALUE!</v>
      </c>
      <c r="D18" s="228" t="e">
        <f>'14-IO Incremental'!D7</f>
        <v>#VALUE!</v>
      </c>
      <c r="F18" t="str">
        <f>'14-IO Incremental'!F7</f>
        <v>Ano 3</v>
      </c>
      <c r="G18" s="120" t="e">
        <f>'14-IO Incremental'!G7</f>
        <v>#VALUE!</v>
      </c>
      <c r="H18" s="229" t="e">
        <f>'14-IO Incremental'!H7</f>
        <v>#VALUE!</v>
      </c>
    </row>
    <row r="19" spans="2:8" ht="12.75">
      <c r="B19" t="str">
        <f>'14-IO Incremental'!B8</f>
        <v>Ano 4</v>
      </c>
      <c r="C19" s="227" t="e">
        <f>'14-IO Incremental'!C8</f>
        <v>#VALUE!</v>
      </c>
      <c r="D19" s="228" t="e">
        <f>'14-IO Incremental'!D8</f>
        <v>#VALUE!</v>
      </c>
      <c r="F19" t="str">
        <f>'14-IO Incremental'!F8</f>
        <v>Ano 4</v>
      </c>
      <c r="G19" s="120" t="e">
        <f>'14-IO Incremental'!G8</f>
        <v>#VALUE!</v>
      </c>
      <c r="H19" s="229" t="e">
        <f>'14-IO Incremental'!H8</f>
        <v>#VALUE!</v>
      </c>
    </row>
    <row r="20" spans="2:8" ht="12.75">
      <c r="B20" t="str">
        <f>'14-IO Incremental'!B9</f>
        <v>Ano 5</v>
      </c>
      <c r="C20" s="227" t="e">
        <f>'14-IO Incremental'!C9</f>
        <v>#VALUE!</v>
      </c>
      <c r="D20" s="228" t="e">
        <f>'14-IO Incremental'!D9</f>
        <v>#VALUE!</v>
      </c>
      <c r="F20" t="str">
        <f>'14-IO Incremental'!F9</f>
        <v>Ano 5</v>
      </c>
      <c r="G20" s="120" t="e">
        <f>'14-IO Incremental'!G9</f>
        <v>#VALUE!</v>
      </c>
      <c r="H20" s="229" t="e">
        <f>'14-IO Incremental'!H9</f>
        <v>#VALUE!</v>
      </c>
    </row>
    <row r="21" spans="2:8" ht="12.75">
      <c r="B21" s="123" t="str">
        <f>'14-IO Incremental'!B10</f>
        <v>Em 5 anos</v>
      </c>
      <c r="C21" s="126" t="e">
        <f>'14-IO Incremental'!C10</f>
        <v>#VALUE!</v>
      </c>
      <c r="D21" s="125" t="e">
        <f>'14-IO Incremental'!D10</f>
        <v>#VALUE!</v>
      </c>
      <c r="F21" s="123" t="str">
        <f>'14-IO Incremental'!F10</f>
        <v>Em 5 anos</v>
      </c>
      <c r="G21" s="126" t="e">
        <f>'14-IO Incremental'!G10</f>
        <v>#VALUE!</v>
      </c>
      <c r="H21" s="141" t="e">
        <f>'14-IO Incremental'!H10</f>
        <v>#VALUE!</v>
      </c>
    </row>
    <row r="24" spans="2:8" ht="12.75">
      <c r="B24" s="121" t="str">
        <f>'14-IO Incremental'!B13</f>
        <v>Cenário 2 vs Cenário de referência</v>
      </c>
      <c r="C24" s="122"/>
      <c r="D24" s="121" t="str">
        <f>'14-IO Incremental'!D13</f>
        <v>Diferença %</v>
      </c>
      <c r="F24" s="121" t="str">
        <f>'14-IO Incremental'!F13</f>
        <v>Cenário 3 vs Cenário 1</v>
      </c>
      <c r="G24" s="121"/>
      <c r="H24" s="143" t="str">
        <f>'14-IO Incremental'!H13</f>
        <v>Diferença %</v>
      </c>
    </row>
    <row r="25" spans="2:8" ht="12.75">
      <c r="B25" t="str">
        <f>'14-IO Incremental'!B14</f>
        <v>Ano 1</v>
      </c>
      <c r="C25" s="119" t="e">
        <f>'14-IO Incremental'!C14</f>
        <v>#VALUE!</v>
      </c>
      <c r="D25" s="118" t="e">
        <f>'14-IO Incremental'!D14</f>
        <v>#VALUE!</v>
      </c>
      <c r="F25" t="str">
        <f>'14-IO Incremental'!F14</f>
        <v>Ano 1</v>
      </c>
      <c r="G25" s="120" t="e">
        <f>'14-IO Incremental'!G14</f>
        <v>#VALUE!</v>
      </c>
      <c r="H25" s="1" t="e">
        <f>'14-IO Incremental'!H14</f>
        <v>#VALUE!</v>
      </c>
    </row>
    <row r="26" spans="2:8" ht="12.75">
      <c r="B26" t="str">
        <f>'14-IO Incremental'!B15</f>
        <v>Ano 2</v>
      </c>
      <c r="C26" s="119" t="e">
        <f>'14-IO Incremental'!C15</f>
        <v>#VALUE!</v>
      </c>
      <c r="D26" s="228" t="e">
        <f>'14-IO Incremental'!D15</f>
        <v>#VALUE!</v>
      </c>
      <c r="F26" t="str">
        <f>'14-IO Incremental'!F15</f>
        <v>Ano 2</v>
      </c>
      <c r="G26" s="120" t="e">
        <f>'14-IO Incremental'!G15</f>
        <v>#VALUE!</v>
      </c>
      <c r="H26" s="229" t="e">
        <f>'14-IO Incremental'!H15</f>
        <v>#VALUE!</v>
      </c>
    </row>
    <row r="27" spans="2:8" ht="12.75">
      <c r="B27" t="str">
        <f>'14-IO Incremental'!B16</f>
        <v>Ano 3</v>
      </c>
      <c r="C27" s="119" t="e">
        <f>'14-IO Incremental'!C16</f>
        <v>#VALUE!</v>
      </c>
      <c r="D27" s="228" t="e">
        <f>'14-IO Incremental'!D16</f>
        <v>#VALUE!</v>
      </c>
      <c r="F27" t="str">
        <f>'14-IO Incremental'!F16</f>
        <v>Ano 3</v>
      </c>
      <c r="G27" s="120" t="e">
        <f>'14-IO Incremental'!G16</f>
        <v>#VALUE!</v>
      </c>
      <c r="H27" s="229" t="e">
        <f>'14-IO Incremental'!H16</f>
        <v>#VALUE!</v>
      </c>
    </row>
    <row r="28" spans="2:8" ht="12.75">
      <c r="B28" t="str">
        <f>'14-IO Incremental'!B17</f>
        <v>Ano 4</v>
      </c>
      <c r="C28" s="119" t="e">
        <f>'14-IO Incremental'!C17</f>
        <v>#VALUE!</v>
      </c>
      <c r="D28" s="228" t="e">
        <f>'14-IO Incremental'!D17</f>
        <v>#VALUE!</v>
      </c>
      <c r="F28" t="str">
        <f>'14-IO Incremental'!F17</f>
        <v>Ano 4</v>
      </c>
      <c r="G28" s="120" t="e">
        <f>'14-IO Incremental'!G17</f>
        <v>#VALUE!</v>
      </c>
      <c r="H28" s="229" t="e">
        <f>'14-IO Incremental'!H17</f>
        <v>#VALUE!</v>
      </c>
    </row>
    <row r="29" spans="2:8" ht="12.75">
      <c r="B29" t="str">
        <f>'14-IO Incremental'!B18</f>
        <v>Ano 5</v>
      </c>
      <c r="C29" s="119" t="e">
        <f>'14-IO Incremental'!C18</f>
        <v>#VALUE!</v>
      </c>
      <c r="D29" s="228" t="e">
        <f>'14-IO Incremental'!D18</f>
        <v>#VALUE!</v>
      </c>
      <c r="F29" t="str">
        <f>'14-IO Incremental'!F18</f>
        <v>Ano 5</v>
      </c>
      <c r="G29" s="120" t="e">
        <f>'14-IO Incremental'!G18</f>
        <v>#VALUE!</v>
      </c>
      <c r="H29" s="229" t="e">
        <f>'14-IO Incremental'!H18</f>
        <v>#VALUE!</v>
      </c>
    </row>
    <row r="30" spans="2:8" ht="12.75">
      <c r="B30" s="123" t="str">
        <f>'14-IO Incremental'!B19</f>
        <v>Em 5 anos</v>
      </c>
      <c r="C30" s="124" t="e">
        <f>'14-IO Incremental'!C19</f>
        <v>#VALUE!</v>
      </c>
      <c r="D30" s="125" t="e">
        <f>'14-IO Incremental'!D19</f>
        <v>#VALUE!</v>
      </c>
      <c r="F30" t="str">
        <f>'14-IO Incremental'!F19</f>
        <v>Em 5 anos</v>
      </c>
      <c r="G30" s="120" t="e">
        <f>'14-IO Incremental'!G19</f>
        <v>#VALUE!</v>
      </c>
      <c r="H30" s="1" t="e">
        <f>'14-IO Incremental'!H19</f>
        <v>#VALUE!</v>
      </c>
    </row>
    <row r="33" spans="2:8" ht="12.75">
      <c r="B33" s="121" t="str">
        <f>'14-IO Incremental'!B22</f>
        <v>Cenário 3 vs Cenário de referência</v>
      </c>
      <c r="C33" s="122"/>
      <c r="D33" s="121" t="str">
        <f>'14-IO Incremental'!D22</f>
        <v>Diferença %</v>
      </c>
      <c r="F33" s="121" t="str">
        <f>'14-IO Incremental'!F22</f>
        <v>Cenário 3 vs Cenário 2</v>
      </c>
      <c r="G33" s="121"/>
      <c r="H33" s="143" t="str">
        <f>'14-IO Incremental'!H22</f>
        <v>Diferença %</v>
      </c>
    </row>
    <row r="34" spans="2:8" ht="12.75">
      <c r="B34" t="str">
        <f>'14-IO Incremental'!B23</f>
        <v>Ano 1</v>
      </c>
      <c r="C34" s="119" t="e">
        <f>'14-IO Incremental'!C23</f>
        <v>#VALUE!</v>
      </c>
      <c r="D34" s="118" t="e">
        <f>'14-IO Incremental'!D23</f>
        <v>#VALUE!</v>
      </c>
      <c r="F34" t="str">
        <f>'14-IO Incremental'!F23</f>
        <v>Ano 1</v>
      </c>
      <c r="G34" s="120" t="e">
        <f>'14-IO Incremental'!G23</f>
        <v>#VALUE!</v>
      </c>
      <c r="H34" s="1" t="e">
        <f>'14-IO Incremental'!H23</f>
        <v>#VALUE!</v>
      </c>
    </row>
    <row r="35" spans="2:8" ht="12.75">
      <c r="B35" t="str">
        <f>'14-IO Incremental'!B24</f>
        <v>Ano 2</v>
      </c>
      <c r="C35" s="119" t="e">
        <f>'14-IO Incremental'!C24</f>
        <v>#VALUE!</v>
      </c>
      <c r="D35" s="228" t="e">
        <f>'14-IO Incremental'!D24</f>
        <v>#VALUE!</v>
      </c>
      <c r="F35" t="str">
        <f>'14-IO Incremental'!F24</f>
        <v>Ano 2</v>
      </c>
      <c r="G35" s="120" t="e">
        <f>'14-IO Incremental'!G24</f>
        <v>#VALUE!</v>
      </c>
      <c r="H35" s="229" t="e">
        <f>'14-IO Incremental'!H24</f>
        <v>#VALUE!</v>
      </c>
    </row>
    <row r="36" spans="2:8" ht="12.75">
      <c r="B36" t="str">
        <f>'14-IO Incremental'!B25</f>
        <v>Ano 3</v>
      </c>
      <c r="C36" s="119" t="e">
        <f>'14-IO Incremental'!C25</f>
        <v>#VALUE!</v>
      </c>
      <c r="D36" s="228" t="e">
        <f>'14-IO Incremental'!D25</f>
        <v>#VALUE!</v>
      </c>
      <c r="F36" t="str">
        <f>'14-IO Incremental'!F25</f>
        <v>Ano 3</v>
      </c>
      <c r="G36" s="120" t="e">
        <f>'14-IO Incremental'!G25</f>
        <v>#VALUE!</v>
      </c>
      <c r="H36" s="229" t="e">
        <f>'14-IO Incremental'!H25</f>
        <v>#VALUE!</v>
      </c>
    </row>
    <row r="37" spans="2:8" ht="12.75">
      <c r="B37" t="str">
        <f>'14-IO Incremental'!B26</f>
        <v>Ano 4</v>
      </c>
      <c r="C37" s="119" t="e">
        <f>'14-IO Incremental'!C26</f>
        <v>#VALUE!</v>
      </c>
      <c r="D37" s="228" t="e">
        <f>'14-IO Incremental'!D26</f>
        <v>#VALUE!</v>
      </c>
      <c r="F37" t="str">
        <f>'14-IO Incremental'!F26</f>
        <v>Ano 4</v>
      </c>
      <c r="G37" s="120" t="e">
        <f>'14-IO Incremental'!G26</f>
        <v>#VALUE!</v>
      </c>
      <c r="H37" s="229" t="e">
        <f>'14-IO Incremental'!H26</f>
        <v>#VALUE!</v>
      </c>
    </row>
    <row r="38" spans="2:8" ht="12.75">
      <c r="B38" t="str">
        <f>'14-IO Incremental'!B27</f>
        <v>Ano 5</v>
      </c>
      <c r="C38" s="119" t="e">
        <f>'14-IO Incremental'!C27</f>
        <v>#VALUE!</v>
      </c>
      <c r="D38" s="228" t="e">
        <f>'14-IO Incremental'!D27</f>
        <v>#VALUE!</v>
      </c>
      <c r="F38" t="str">
        <f>'14-IO Incremental'!F27</f>
        <v>Ano 5</v>
      </c>
      <c r="G38" s="120" t="e">
        <f>'14-IO Incremental'!G27</f>
        <v>#VALUE!</v>
      </c>
      <c r="H38" s="229" t="e">
        <f>'14-IO Incremental'!H27</f>
        <v>#VALUE!</v>
      </c>
    </row>
    <row r="39" spans="2:8" ht="12.75">
      <c r="B39" s="123" t="str">
        <f>'14-IO Incremental'!B28</f>
        <v>Em 5 anos</v>
      </c>
      <c r="C39" s="124" t="e">
        <f>'14-IO Incremental'!C28</f>
        <v>#VALUE!</v>
      </c>
      <c r="D39" s="125" t="e">
        <f>'14-IO Incremental'!D28</f>
        <v>#VALUE!</v>
      </c>
      <c r="F39" s="123" t="str">
        <f>'14-IO Incremental'!F28</f>
        <v>Em 5 anos</v>
      </c>
      <c r="G39" s="126" t="e">
        <f>'14-IO Incremental'!G28</f>
        <v>#VALUE!</v>
      </c>
      <c r="H39" s="141" t="e">
        <f>'14-IO Incremental'!H28</f>
        <v>#VALUE!</v>
      </c>
    </row>
  </sheetData>
  <sheetProtection/>
  <mergeCells count="6">
    <mergeCell ref="G9:H9"/>
    <mergeCell ref="G10:H10"/>
    <mergeCell ref="G4:H4"/>
    <mergeCell ref="G5:H5"/>
    <mergeCell ref="G6:H6"/>
    <mergeCell ref="G7:H7"/>
  </mergeCells>
  <conditionalFormatting sqref="F7:H7">
    <cfRule type="expression" priority="4" dxfId="2" stopIfTrue="1">
      <formula>$G$7=0</formula>
    </cfRule>
  </conditionalFormatting>
  <conditionalFormatting sqref="F6:H6">
    <cfRule type="expression" priority="3" dxfId="2" stopIfTrue="1">
      <formula>$G$6=0</formula>
    </cfRule>
  </conditionalFormatting>
  <conditionalFormatting sqref="B33:H39 F24:H30">
    <cfRule type="expression" priority="2" dxfId="0" stopIfTrue="1">
      <formula>$G$7=0</formula>
    </cfRule>
  </conditionalFormatting>
  <conditionalFormatting sqref="B24:D30 F15:H21">
    <cfRule type="expression" priority="1" dxfId="0" stopIfTrue="1">
      <formula>$G$6=0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8515625" style="0" customWidth="1"/>
    <col min="2" max="2" width="23.00390625" style="0" customWidth="1"/>
    <col min="3" max="3" width="18.00390625" style="0" customWidth="1"/>
    <col min="4" max="4" width="11.421875" style="0" customWidth="1"/>
    <col min="5" max="5" width="7.421875" style="0" customWidth="1"/>
    <col min="6" max="6" width="24.7109375" style="0" customWidth="1"/>
    <col min="7" max="7" width="20.421875" style="0" customWidth="1"/>
    <col min="8" max="8" width="12.00390625" style="0" customWidth="1"/>
  </cols>
  <sheetData>
    <row r="1" spans="2:10" ht="20.25">
      <c r="B1" s="136" t="s">
        <v>176</v>
      </c>
      <c r="D1" s="137"/>
      <c r="E1" s="136" t="str">
        <f>Programação!D8</f>
        <v>Nome do fármaco avaliado para Nome da doença</v>
      </c>
      <c r="G1" s="136"/>
      <c r="H1" s="136"/>
      <c r="I1" s="3"/>
      <c r="J1" s="3"/>
    </row>
    <row r="2" ht="5.25" customHeight="1"/>
    <row r="3" spans="2:8" ht="12.75">
      <c r="B3" s="138" t="s">
        <v>172</v>
      </c>
      <c r="C3" s="127" t="str">
        <f>'1-Critérios'!C14</f>
        <v>Perspectiva escolhida para a análise</v>
      </c>
      <c r="D3" s="127"/>
      <c r="E3" s="127"/>
      <c r="F3" s="128" t="s">
        <v>164</v>
      </c>
      <c r="G3" s="128"/>
      <c r="H3" s="129"/>
    </row>
    <row r="4" spans="1:8" ht="12.75">
      <c r="A4" s="3"/>
      <c r="B4" s="139"/>
      <c r="C4" s="2"/>
      <c r="D4" s="2"/>
      <c r="E4" s="2"/>
      <c r="F4" s="131" t="s">
        <v>168</v>
      </c>
      <c r="G4" s="251" t="str">
        <f>'1-Critérios'!C19</f>
        <v>Rótulo Cenário Referência</v>
      </c>
      <c r="H4" s="252"/>
    </row>
    <row r="5" spans="2:8" ht="12.75">
      <c r="B5" s="140" t="s">
        <v>173</v>
      </c>
      <c r="C5" s="2" t="str">
        <f>Programação!C9</f>
        <v>5 anos</v>
      </c>
      <c r="D5" s="2"/>
      <c r="E5" s="2"/>
      <c r="F5" s="131" t="s">
        <v>169</v>
      </c>
      <c r="G5" s="251" t="str">
        <f>'1-Critérios'!C20</f>
        <v>Rótulo Cenário Alternativo 1</v>
      </c>
      <c r="H5" s="252"/>
    </row>
    <row r="6" spans="1:8" ht="12.75">
      <c r="A6" s="3"/>
      <c r="B6" s="139"/>
      <c r="C6" s="2"/>
      <c r="D6" s="2"/>
      <c r="E6" s="2"/>
      <c r="F6" s="131" t="s">
        <v>170</v>
      </c>
      <c r="G6" s="251" t="str">
        <f>'1-Critérios'!C21</f>
        <v>Rótulo Cenário Alternativo 1</v>
      </c>
      <c r="H6" s="252"/>
    </row>
    <row r="7" spans="2:8" ht="12.75">
      <c r="B7" s="132" t="s">
        <v>177</v>
      </c>
      <c r="C7" s="142" t="e">
        <f>'4-Restrições - Demandas'!C19</f>
        <v>#VALUE!</v>
      </c>
      <c r="D7" s="2"/>
      <c r="E7" s="2"/>
      <c r="F7" s="131" t="s">
        <v>171</v>
      </c>
      <c r="G7" s="251" t="str">
        <f>'1-Critérios'!C22</f>
        <v>Rótulo Cenário Alternativo 1</v>
      </c>
      <c r="H7" s="252"/>
    </row>
    <row r="8" spans="2:8" ht="12.75">
      <c r="B8" s="130"/>
      <c r="C8" s="2"/>
      <c r="D8" s="2"/>
      <c r="E8" s="2"/>
      <c r="F8" s="2"/>
      <c r="G8" s="2"/>
      <c r="H8" s="133"/>
    </row>
    <row r="9" spans="2:8" ht="12.75">
      <c r="B9" s="132" t="s">
        <v>174</v>
      </c>
      <c r="C9" s="2" t="str">
        <f>IF(AVERAGE('9-Ajustes Econômicos'!C5:'9-Ajustes Econômicos'!C9)&gt;0,"Sim","Não")</f>
        <v>Não</v>
      </c>
      <c r="D9" s="2"/>
      <c r="E9" s="2"/>
      <c r="F9" s="131" t="s">
        <v>165</v>
      </c>
      <c r="G9" s="249" t="str">
        <f>IF(C9="Sim",AVERAGE('9-Ajustes Econômicos'!C5:'9-Ajustes Econômicos'!C9),"Não se aplica")</f>
        <v>Não se aplica</v>
      </c>
      <c r="H9" s="250"/>
    </row>
    <row r="10" spans="2:8" ht="12.75">
      <c r="B10" s="132" t="s">
        <v>175</v>
      </c>
      <c r="C10" s="2" t="str">
        <f>IF('9-Ajustes Econômicos'!C11&gt;0,"Sim","Não")</f>
        <v>Não</v>
      </c>
      <c r="D10" s="2"/>
      <c r="E10" s="2"/>
      <c r="F10" s="131" t="s">
        <v>166</v>
      </c>
      <c r="G10" s="249" t="str">
        <f>IF(C10="Sim",'9-Ajustes Econômicos'!C11,"Não se aplica")</f>
        <v>Não se aplica</v>
      </c>
      <c r="H10" s="250"/>
    </row>
    <row r="11" spans="2:8" ht="12.75">
      <c r="B11" s="134" t="s">
        <v>317</v>
      </c>
      <c r="C11" s="231"/>
      <c r="D11" s="232" t="s">
        <v>116</v>
      </c>
      <c r="E11" s="123"/>
      <c r="F11" s="135"/>
      <c r="G11" s="213"/>
      <c r="H11" s="214"/>
    </row>
    <row r="12" ht="5.25" customHeight="1"/>
    <row r="13" ht="12.75">
      <c r="B13" s="3" t="str">
        <f>'14-IO Incremental'!B2</f>
        <v>Impacto Orçamentário Incremental: sem custos evitados</v>
      </c>
    </row>
    <row r="14" ht="5.25" customHeight="1"/>
    <row r="15" spans="2:8" ht="12.75">
      <c r="B15" s="121" t="str">
        <f>'14-IO Incremental'!B4</f>
        <v>Cenário 1 vs Cenário de referência</v>
      </c>
      <c r="C15" s="121"/>
      <c r="D15" s="121" t="str">
        <f>'14-IO Incremental'!D4</f>
        <v>Diferença %</v>
      </c>
      <c r="F15" s="121" t="str">
        <f>'14-IO Incremental'!F4</f>
        <v>Cenário 2 vs Cenário 1</v>
      </c>
      <c r="G15" s="121"/>
      <c r="H15" s="143" t="str">
        <f>'14-IO Incremental'!H4</f>
        <v>Diferença %</v>
      </c>
    </row>
    <row r="16" spans="2:8" ht="12.75">
      <c r="B16" t="str">
        <f>'14-IO Incremental'!B5</f>
        <v>Ano 1</v>
      </c>
      <c r="C16" s="120" t="e">
        <f>'14-IO Incremental'!C36</f>
        <v>#VALUE!</v>
      </c>
      <c r="D16" s="118" t="e">
        <f>'14-IO Incremental'!D36</f>
        <v>#VALUE!</v>
      </c>
      <c r="F16" t="str">
        <f>'14-IO Incremental'!F5</f>
        <v>Ano 1</v>
      </c>
      <c r="G16" s="120" t="e">
        <f>'14-IO Incremental'!G36</f>
        <v>#VALUE!</v>
      </c>
      <c r="H16" s="1" t="e">
        <f>'14-IO Incremental'!H36</f>
        <v>#VALUE!</v>
      </c>
    </row>
    <row r="17" spans="2:8" ht="12.75">
      <c r="B17" t="str">
        <f>'14-IO Incremental'!B6</f>
        <v>Ano 2</v>
      </c>
      <c r="C17" s="230" t="e">
        <f>'14-IO Incremental'!C37</f>
        <v>#VALUE!</v>
      </c>
      <c r="D17" s="228" t="e">
        <f>'14-IO Incremental'!D37</f>
        <v>#VALUE!</v>
      </c>
      <c r="F17" t="str">
        <f>'14-IO Incremental'!F6</f>
        <v>Ano 2</v>
      </c>
      <c r="G17" s="120" t="e">
        <f>'14-IO Incremental'!G37</f>
        <v>#VALUE!</v>
      </c>
      <c r="H17" s="229" t="e">
        <f>'14-IO Incremental'!H37</f>
        <v>#VALUE!</v>
      </c>
    </row>
    <row r="18" spans="2:8" ht="12.75">
      <c r="B18" t="str">
        <f>'14-IO Incremental'!B7</f>
        <v>Ano 3</v>
      </c>
      <c r="C18" s="120" t="e">
        <f>'14-IO Incremental'!C38</f>
        <v>#VALUE!</v>
      </c>
      <c r="D18" s="228" t="e">
        <f>'14-IO Incremental'!D38</f>
        <v>#VALUE!</v>
      </c>
      <c r="F18" t="str">
        <f>'14-IO Incremental'!F7</f>
        <v>Ano 3</v>
      </c>
      <c r="G18" s="120" t="e">
        <f>'14-IO Incremental'!G38</f>
        <v>#VALUE!</v>
      </c>
      <c r="H18" s="229" t="e">
        <f>'14-IO Incremental'!H38</f>
        <v>#VALUE!</v>
      </c>
    </row>
    <row r="19" spans="2:8" ht="12.75">
      <c r="B19" t="str">
        <f>'14-IO Incremental'!B8</f>
        <v>Ano 4</v>
      </c>
      <c r="C19" s="120" t="e">
        <f>'14-IO Incremental'!C39</f>
        <v>#VALUE!</v>
      </c>
      <c r="D19" s="228" t="e">
        <f>'14-IO Incremental'!D39</f>
        <v>#VALUE!</v>
      </c>
      <c r="F19" t="str">
        <f>'14-IO Incremental'!F8</f>
        <v>Ano 4</v>
      </c>
      <c r="G19" s="120" t="e">
        <f>'14-IO Incremental'!G39</f>
        <v>#VALUE!</v>
      </c>
      <c r="H19" s="229" t="e">
        <f>'14-IO Incremental'!H39</f>
        <v>#VALUE!</v>
      </c>
    </row>
    <row r="20" spans="2:8" ht="12.75">
      <c r="B20" t="str">
        <f>'14-IO Incremental'!B9</f>
        <v>Ano 5</v>
      </c>
      <c r="C20" s="120" t="e">
        <f>'14-IO Incremental'!C40</f>
        <v>#VALUE!</v>
      </c>
      <c r="D20" s="228" t="e">
        <f>'14-IO Incremental'!D40</f>
        <v>#VALUE!</v>
      </c>
      <c r="F20" t="str">
        <f>'14-IO Incremental'!F9</f>
        <v>Ano 5</v>
      </c>
      <c r="G20" s="120" t="e">
        <f>'14-IO Incremental'!G40</f>
        <v>#VALUE!</v>
      </c>
      <c r="H20" s="229" t="e">
        <f>'14-IO Incremental'!H40</f>
        <v>#VALUE!</v>
      </c>
    </row>
    <row r="21" spans="2:8" ht="12.75">
      <c r="B21" s="123" t="str">
        <f>'14-IO Incremental'!B10</f>
        <v>Em 5 anos</v>
      </c>
      <c r="C21" s="126" t="e">
        <f>'14-IO Incremental'!C41</f>
        <v>#VALUE!</v>
      </c>
      <c r="D21" s="125" t="e">
        <f>'14-IO Incremental'!D41</f>
        <v>#VALUE!</v>
      </c>
      <c r="F21" s="123" t="str">
        <f>'14-IO Incremental'!F10</f>
        <v>Em 5 anos</v>
      </c>
      <c r="G21" s="126" t="e">
        <f>'14-IO Incremental'!G41</f>
        <v>#VALUE!</v>
      </c>
      <c r="H21" s="141" t="e">
        <f>'14-IO Incremental'!H41</f>
        <v>#VALUE!</v>
      </c>
    </row>
    <row r="24" spans="2:8" ht="12.75">
      <c r="B24" s="121" t="str">
        <f>'14-IO Incremental'!B13</f>
        <v>Cenário 2 vs Cenário de referência</v>
      </c>
      <c r="C24" s="122"/>
      <c r="D24" s="121" t="str">
        <f>'14-IO Incremental'!D13</f>
        <v>Diferença %</v>
      </c>
      <c r="F24" s="121" t="str">
        <f>'14-IO Incremental'!F13</f>
        <v>Cenário 3 vs Cenário 1</v>
      </c>
      <c r="G24" s="121"/>
      <c r="H24" s="143" t="str">
        <f>'14-IO Incremental'!H13</f>
        <v>Diferença %</v>
      </c>
    </row>
    <row r="25" spans="2:8" ht="12.75">
      <c r="B25" t="str">
        <f>'14-IO Incremental'!B14</f>
        <v>Ano 1</v>
      </c>
      <c r="C25" s="119" t="e">
        <f>'14-IO Incremental'!C45</f>
        <v>#VALUE!</v>
      </c>
      <c r="D25" s="118" t="e">
        <f>'14-IO Incremental'!D45</f>
        <v>#VALUE!</v>
      </c>
      <c r="F25" t="str">
        <f>'14-IO Incremental'!F14</f>
        <v>Ano 1</v>
      </c>
      <c r="G25" s="120" t="e">
        <f>'14-IO Incremental'!G45</f>
        <v>#VALUE!</v>
      </c>
      <c r="H25" s="1" t="e">
        <f>'14-IO Incremental'!H45</f>
        <v>#VALUE!</v>
      </c>
    </row>
    <row r="26" spans="2:8" ht="12.75">
      <c r="B26" t="str">
        <f>'14-IO Incremental'!B15</f>
        <v>Ano 2</v>
      </c>
      <c r="C26" s="119" t="e">
        <f>'14-IO Incremental'!C46</f>
        <v>#VALUE!</v>
      </c>
      <c r="D26" s="228" t="e">
        <f>'14-IO Incremental'!D46</f>
        <v>#VALUE!</v>
      </c>
      <c r="F26" t="str">
        <f>'14-IO Incremental'!F15</f>
        <v>Ano 2</v>
      </c>
      <c r="G26" s="120" t="e">
        <f>'14-IO Incremental'!G46</f>
        <v>#VALUE!</v>
      </c>
      <c r="H26" s="229" t="e">
        <f>'14-IO Incremental'!H46</f>
        <v>#VALUE!</v>
      </c>
    </row>
    <row r="27" spans="2:8" ht="12.75">
      <c r="B27" t="str">
        <f>'14-IO Incremental'!B16</f>
        <v>Ano 3</v>
      </c>
      <c r="C27" s="119" t="e">
        <f>'14-IO Incremental'!C47</f>
        <v>#VALUE!</v>
      </c>
      <c r="D27" s="228" t="e">
        <f>'14-IO Incremental'!D47</f>
        <v>#VALUE!</v>
      </c>
      <c r="F27" t="str">
        <f>'14-IO Incremental'!F16</f>
        <v>Ano 3</v>
      </c>
      <c r="G27" s="120" t="e">
        <f>'14-IO Incremental'!G47</f>
        <v>#VALUE!</v>
      </c>
      <c r="H27" s="229" t="e">
        <f>'14-IO Incremental'!H47</f>
        <v>#VALUE!</v>
      </c>
    </row>
    <row r="28" spans="2:8" ht="12.75">
      <c r="B28" t="str">
        <f>'14-IO Incremental'!B17</f>
        <v>Ano 4</v>
      </c>
      <c r="C28" s="119" t="e">
        <f>'14-IO Incremental'!C48</f>
        <v>#VALUE!</v>
      </c>
      <c r="D28" s="228" t="e">
        <f>'14-IO Incremental'!D48</f>
        <v>#VALUE!</v>
      </c>
      <c r="F28" t="str">
        <f>'14-IO Incremental'!F17</f>
        <v>Ano 4</v>
      </c>
      <c r="G28" s="120" t="e">
        <f>'14-IO Incremental'!G48</f>
        <v>#VALUE!</v>
      </c>
      <c r="H28" s="229" t="e">
        <f>'14-IO Incremental'!H48</f>
        <v>#VALUE!</v>
      </c>
    </row>
    <row r="29" spans="2:8" ht="12.75">
      <c r="B29" t="str">
        <f>'14-IO Incremental'!B18</f>
        <v>Ano 5</v>
      </c>
      <c r="C29" s="119" t="e">
        <f>'14-IO Incremental'!C49</f>
        <v>#VALUE!</v>
      </c>
      <c r="D29" s="228" t="e">
        <f>'14-IO Incremental'!D49</f>
        <v>#VALUE!</v>
      </c>
      <c r="F29" t="str">
        <f>'14-IO Incremental'!F18</f>
        <v>Ano 5</v>
      </c>
      <c r="G29" s="120" t="e">
        <f>'14-IO Incremental'!G49</f>
        <v>#VALUE!</v>
      </c>
      <c r="H29" s="229" t="e">
        <f>'14-IO Incremental'!H49</f>
        <v>#VALUE!</v>
      </c>
    </row>
    <row r="30" spans="2:8" ht="12.75">
      <c r="B30" s="123" t="str">
        <f>'14-IO Incremental'!B19</f>
        <v>Em 5 anos</v>
      </c>
      <c r="C30" s="124" t="e">
        <f>'14-IO Incremental'!C50</f>
        <v>#VALUE!</v>
      </c>
      <c r="D30" s="125" t="e">
        <f>'14-IO Incremental'!D50</f>
        <v>#VALUE!</v>
      </c>
      <c r="F30" t="str">
        <f>'14-IO Incremental'!F19</f>
        <v>Em 5 anos</v>
      </c>
      <c r="G30" s="126" t="e">
        <f>'14-IO Incremental'!G50</f>
        <v>#VALUE!</v>
      </c>
      <c r="H30" s="141" t="e">
        <f>'14-IO Incremental'!H50</f>
        <v>#VALUE!</v>
      </c>
    </row>
    <row r="33" spans="2:8" ht="12.75">
      <c r="B33" s="121" t="str">
        <f>'14-IO Incremental'!B22</f>
        <v>Cenário 3 vs Cenário de referência</v>
      </c>
      <c r="C33" s="122"/>
      <c r="D33" s="121" t="str">
        <f>'14-IO Incremental'!D22</f>
        <v>Diferença %</v>
      </c>
      <c r="F33" s="121" t="str">
        <f>'14-IO Incremental'!F22</f>
        <v>Cenário 3 vs Cenário 2</v>
      </c>
      <c r="G33" s="121"/>
      <c r="H33" s="143" t="str">
        <f>'14-IO Incremental'!H22</f>
        <v>Diferença %</v>
      </c>
    </row>
    <row r="34" spans="2:8" ht="12.75">
      <c r="B34" t="str">
        <f>'14-IO Incremental'!B23</f>
        <v>Ano 1</v>
      </c>
      <c r="C34" s="119" t="e">
        <f>'14-IO Incremental'!C54</f>
        <v>#VALUE!</v>
      </c>
      <c r="D34" s="118" t="e">
        <f>'14-IO Incremental'!D54</f>
        <v>#VALUE!</v>
      </c>
      <c r="F34" t="str">
        <f>'14-IO Incremental'!F23</f>
        <v>Ano 1</v>
      </c>
      <c r="G34" s="120" t="e">
        <f>'14-IO Incremental'!G54</f>
        <v>#VALUE!</v>
      </c>
      <c r="H34" s="1" t="e">
        <f>'14-IO Incremental'!H54</f>
        <v>#VALUE!</v>
      </c>
    </row>
    <row r="35" spans="2:8" ht="12.75">
      <c r="B35" t="str">
        <f>'14-IO Incremental'!B24</f>
        <v>Ano 2</v>
      </c>
      <c r="C35" s="119" t="e">
        <f>'14-IO Incremental'!C55</f>
        <v>#VALUE!</v>
      </c>
      <c r="D35" s="228" t="e">
        <f>'14-IO Incremental'!D55</f>
        <v>#VALUE!</v>
      </c>
      <c r="F35" t="str">
        <f>'14-IO Incremental'!F24</f>
        <v>Ano 2</v>
      </c>
      <c r="G35" s="120" t="e">
        <f>'14-IO Incremental'!G55</f>
        <v>#VALUE!</v>
      </c>
      <c r="H35" s="229" t="e">
        <f>'14-IO Incremental'!H55</f>
        <v>#VALUE!</v>
      </c>
    </row>
    <row r="36" spans="2:8" ht="12.75">
      <c r="B36" t="str">
        <f>'14-IO Incremental'!B25</f>
        <v>Ano 3</v>
      </c>
      <c r="C36" s="119" t="e">
        <f>'14-IO Incremental'!C56</f>
        <v>#VALUE!</v>
      </c>
      <c r="D36" s="228" t="e">
        <f>'14-IO Incremental'!D56</f>
        <v>#VALUE!</v>
      </c>
      <c r="F36" t="str">
        <f>'14-IO Incremental'!F25</f>
        <v>Ano 3</v>
      </c>
      <c r="G36" s="120" t="e">
        <f>'14-IO Incremental'!G56</f>
        <v>#VALUE!</v>
      </c>
      <c r="H36" s="229" t="e">
        <f>'14-IO Incremental'!H56</f>
        <v>#VALUE!</v>
      </c>
    </row>
    <row r="37" spans="2:8" ht="12.75">
      <c r="B37" t="str">
        <f>'14-IO Incremental'!B26</f>
        <v>Ano 4</v>
      </c>
      <c r="C37" s="119" t="e">
        <f>'14-IO Incremental'!C57</f>
        <v>#VALUE!</v>
      </c>
      <c r="D37" s="228" t="e">
        <f>'14-IO Incremental'!D57</f>
        <v>#VALUE!</v>
      </c>
      <c r="F37" t="str">
        <f>'14-IO Incremental'!F26</f>
        <v>Ano 4</v>
      </c>
      <c r="G37" s="120" t="e">
        <f>'14-IO Incremental'!G57</f>
        <v>#VALUE!</v>
      </c>
      <c r="H37" s="229" t="e">
        <f>'14-IO Incremental'!H57</f>
        <v>#VALUE!</v>
      </c>
    </row>
    <row r="38" spans="2:8" ht="12.75">
      <c r="B38" t="str">
        <f>'14-IO Incremental'!B27</f>
        <v>Ano 5</v>
      </c>
      <c r="C38" s="119" t="e">
        <f>'14-IO Incremental'!C58</f>
        <v>#VALUE!</v>
      </c>
      <c r="D38" s="228" t="e">
        <f>'14-IO Incremental'!D58</f>
        <v>#VALUE!</v>
      </c>
      <c r="F38" t="str">
        <f>'14-IO Incremental'!F27</f>
        <v>Ano 5</v>
      </c>
      <c r="G38" s="120" t="e">
        <f>'14-IO Incremental'!G58</f>
        <v>#VALUE!</v>
      </c>
      <c r="H38" s="229" t="e">
        <f>'14-IO Incremental'!H58</f>
        <v>#VALUE!</v>
      </c>
    </row>
    <row r="39" spans="2:8" ht="12.75">
      <c r="B39" s="123" t="str">
        <f>'14-IO Incremental'!B28</f>
        <v>Em 5 anos</v>
      </c>
      <c r="C39" s="124" t="e">
        <f>'14-IO Incremental'!C59</f>
        <v>#VALUE!</v>
      </c>
      <c r="D39" s="125" t="e">
        <f>'14-IO Incremental'!D59</f>
        <v>#VALUE!</v>
      </c>
      <c r="F39" s="123" t="str">
        <f>'14-IO Incremental'!F28</f>
        <v>Em 5 anos</v>
      </c>
      <c r="G39" s="126" t="e">
        <f>'14-IO Incremental'!G59</f>
        <v>#VALUE!</v>
      </c>
      <c r="H39" s="141" t="e">
        <f>'14-IO Incremental'!H59</f>
        <v>#VALUE!</v>
      </c>
    </row>
  </sheetData>
  <sheetProtection/>
  <mergeCells count="6">
    <mergeCell ref="G9:H9"/>
    <mergeCell ref="G10:H10"/>
    <mergeCell ref="G4:H4"/>
    <mergeCell ref="G5:H5"/>
    <mergeCell ref="G6:H6"/>
    <mergeCell ref="G7:H7"/>
  </mergeCells>
  <conditionalFormatting sqref="F7:H7">
    <cfRule type="expression" priority="4" dxfId="2" stopIfTrue="1">
      <formula>$G$7=0</formula>
    </cfRule>
  </conditionalFormatting>
  <conditionalFormatting sqref="F6:H6">
    <cfRule type="expression" priority="3" dxfId="2" stopIfTrue="1">
      <formula>$G$6=0</formula>
    </cfRule>
  </conditionalFormatting>
  <conditionalFormatting sqref="F24:H30 B33:H39">
    <cfRule type="expression" priority="2" dxfId="0" stopIfTrue="1">
      <formula>$G$7=0</formula>
    </cfRule>
  </conditionalFormatting>
  <conditionalFormatting sqref="F15:H21 B24:D30">
    <cfRule type="expression" priority="1" dxfId="0" stopIfTrue="1">
      <formula>$G$6=0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9" sqref="S39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B1">
      <selection activeCell="B1" sqref="B1"/>
    </sheetView>
  </sheetViews>
  <sheetFormatPr defaultColWidth="8.8515625" defaultRowHeight="12.75"/>
  <cols>
    <col min="1" max="1" width="7.421875" style="0" bestFit="1" customWidth="1"/>
    <col min="2" max="2" width="7.140625" style="0" bestFit="1" customWidth="1"/>
    <col min="3" max="3" width="26.140625" style="0" bestFit="1" customWidth="1"/>
    <col min="4" max="4" width="42.57421875" style="0" bestFit="1" customWidth="1"/>
  </cols>
  <sheetData>
    <row r="1" ht="12.75">
      <c r="A1" s="3" t="s">
        <v>182</v>
      </c>
    </row>
    <row r="3" ht="12.75">
      <c r="D3" t="s">
        <v>243</v>
      </c>
    </row>
    <row r="4" spans="1:4" ht="12.75">
      <c r="A4" t="s">
        <v>116</v>
      </c>
      <c r="C4" t="s">
        <v>144</v>
      </c>
      <c r="D4" t="s">
        <v>241</v>
      </c>
    </row>
    <row r="5" spans="1:4" ht="12.75">
      <c r="A5" t="s">
        <v>117</v>
      </c>
      <c r="C5" t="s">
        <v>145</v>
      </c>
      <c r="D5" t="s">
        <v>47</v>
      </c>
    </row>
    <row r="6" ht="12.75">
      <c r="D6" t="s">
        <v>242</v>
      </c>
    </row>
    <row r="8" spans="1:4" ht="12.75">
      <c r="A8" t="str">
        <f>'1-Critérios'!C11</f>
        <v>Nome do fármaco avaliado</v>
      </c>
      <c r="B8" t="s">
        <v>163</v>
      </c>
      <c r="C8" t="str">
        <f>'1-Critérios'!C10</f>
        <v>Nome da doença</v>
      </c>
      <c r="D8" t="str">
        <f>CONCATENATE(A8,B8,C8)</f>
        <v>Nome do fármaco avaliado para Nome da doença</v>
      </c>
    </row>
    <row r="9" spans="1:3" ht="12.75">
      <c r="A9">
        <f>'1-Critérios'!C15</f>
        <v>5</v>
      </c>
      <c r="B9" t="str">
        <f>IF(A9&gt;1," anos"," ano")</f>
        <v> anos</v>
      </c>
      <c r="C9" t="str">
        <f>CONCATENATE(A9,B9)</f>
        <v>5 anos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9.140625" style="9" customWidth="1"/>
    <col min="2" max="2" width="75.140625" style="9" customWidth="1"/>
    <col min="3" max="3" width="38.8515625" style="11" customWidth="1"/>
    <col min="4" max="16384" width="9.140625" style="9" customWidth="1"/>
  </cols>
  <sheetData>
    <row r="1" spans="1:3" ht="12.75">
      <c r="A1" s="7" t="s">
        <v>153</v>
      </c>
      <c r="C1" s="9"/>
    </row>
    <row r="2" ht="12.75">
      <c r="B2" s="10" t="s">
        <v>184</v>
      </c>
    </row>
    <row r="4" ht="12.75">
      <c r="B4" s="9" t="s">
        <v>0</v>
      </c>
    </row>
    <row r="5" ht="12.75">
      <c r="B5" s="9" t="s">
        <v>1</v>
      </c>
    </row>
    <row r="6" ht="12.75">
      <c r="B6" s="9" t="s">
        <v>183</v>
      </c>
    </row>
    <row r="7" ht="12.75">
      <c r="B7" s="9" t="s">
        <v>2</v>
      </c>
    </row>
    <row r="9" ht="12.75">
      <c r="B9" s="9" t="s">
        <v>3</v>
      </c>
    </row>
    <row r="10" spans="2:3" ht="15">
      <c r="B10" s="9" t="s">
        <v>4</v>
      </c>
      <c r="C10" s="65" t="s">
        <v>319</v>
      </c>
    </row>
    <row r="11" spans="2:3" ht="15">
      <c r="B11" s="9" t="s">
        <v>5</v>
      </c>
      <c r="C11" s="66" t="s">
        <v>320</v>
      </c>
    </row>
    <row r="13" ht="12.75">
      <c r="B13" s="9" t="s">
        <v>6</v>
      </c>
    </row>
    <row r="14" spans="2:3" ht="15">
      <c r="B14" s="9" t="s">
        <v>7</v>
      </c>
      <c r="C14" s="65" t="s">
        <v>321</v>
      </c>
    </row>
    <row r="15" spans="2:3" ht="15">
      <c r="B15" s="9" t="s">
        <v>8</v>
      </c>
      <c r="C15" s="204">
        <v>5</v>
      </c>
    </row>
    <row r="16" spans="2:3" ht="15">
      <c r="B16" s="203" t="s">
        <v>115</v>
      </c>
      <c r="C16" s="67" t="s">
        <v>116</v>
      </c>
    </row>
    <row r="18" ht="12.75">
      <c r="B18" s="9" t="s">
        <v>9</v>
      </c>
    </row>
    <row r="19" spans="2:3" ht="15">
      <c r="B19" s="9" t="s">
        <v>127</v>
      </c>
      <c r="C19" s="68" t="s">
        <v>322</v>
      </c>
    </row>
    <row r="20" spans="2:3" ht="15">
      <c r="B20" s="9" t="s">
        <v>128</v>
      </c>
      <c r="C20" s="69" t="s">
        <v>323</v>
      </c>
    </row>
    <row r="21" spans="2:3" ht="15">
      <c r="B21" s="9" t="s">
        <v>129</v>
      </c>
      <c r="C21" s="69" t="s">
        <v>323</v>
      </c>
    </row>
    <row r="22" spans="2:3" ht="15">
      <c r="B22" s="9" t="s">
        <v>130</v>
      </c>
      <c r="C22" s="69" t="s">
        <v>323</v>
      </c>
    </row>
    <row r="23" ht="15">
      <c r="C23" s="12"/>
    </row>
    <row r="24" spans="2:3" ht="15">
      <c r="B24" s="9" t="s">
        <v>120</v>
      </c>
      <c r="C24" s="70">
        <v>4</v>
      </c>
    </row>
  </sheetData>
  <sheetProtection/>
  <dataValidations count="3">
    <dataValidation type="list" allowBlank="1" showInputMessage="1" showErrorMessage="1" sqref="C16">
      <formula1>simnao</formula1>
    </dataValidation>
    <dataValidation type="whole" allowBlank="1" showInputMessage="1" showErrorMessage="1" sqref="C15">
      <formula1>1</formula1>
      <formula2>5</formula2>
    </dataValidation>
    <dataValidation type="whole" allowBlank="1" showInputMessage="1" showErrorMessage="1" sqref="C24">
      <formula1>1</formula1>
      <formula2>4</formula2>
    </dataValidation>
  </dataValidations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35.00390625" style="6" bestFit="1" customWidth="1"/>
    <col min="3" max="3" width="30.28125" style="6" bestFit="1" customWidth="1"/>
    <col min="4" max="4" width="29.7109375" style="6" customWidth="1"/>
    <col min="5" max="7" width="22.28125" style="6" customWidth="1"/>
    <col min="8" max="8" width="30.00390625" style="6" bestFit="1" customWidth="1"/>
    <col min="9" max="9" width="9.140625" style="6" customWidth="1"/>
    <col min="10" max="10" width="9.140625" style="13" hidden="1" customWidth="1"/>
    <col min="11" max="13" width="9.140625" style="6" hidden="1" customWidth="1"/>
    <col min="14" max="16384" width="9.140625" style="6" customWidth="1"/>
  </cols>
  <sheetData>
    <row r="1" spans="1:13" ht="12.75">
      <c r="A1" s="7" t="s">
        <v>153</v>
      </c>
      <c r="J1" s="13">
        <f>'1-Critérios'!C24</f>
        <v>4</v>
      </c>
      <c r="K1" s="149" t="str">
        <f>'1-Critérios'!C21</f>
        <v>Rótulo Cenário Alternativo 1</v>
      </c>
      <c r="L1" s="6">
        <f>'1-Critérios'!C15</f>
        <v>5</v>
      </c>
      <c r="M1" s="148" t="str">
        <f>'1-Critérios'!C22</f>
        <v>Rótulo Cenário Alternativo 1</v>
      </c>
    </row>
    <row r="2" ht="12.75">
      <c r="B2" s="14" t="s">
        <v>14</v>
      </c>
    </row>
    <row r="4" spans="2:7" ht="12.75">
      <c r="B4" s="15"/>
      <c r="C4" s="15"/>
      <c r="D4" s="15" t="s">
        <v>185</v>
      </c>
      <c r="E4" s="15" t="s">
        <v>186</v>
      </c>
      <c r="F4" s="15" t="s">
        <v>187</v>
      </c>
      <c r="G4" s="15" t="s">
        <v>188</v>
      </c>
    </row>
    <row r="5" spans="2:7" ht="15">
      <c r="B5" s="15"/>
      <c r="C5" s="15" t="s">
        <v>15</v>
      </c>
      <c r="D5" s="104" t="str">
        <f>'1-Critérios'!C11</f>
        <v>Nome do fármaco avaliado</v>
      </c>
      <c r="E5" s="105" t="s">
        <v>324</v>
      </c>
      <c r="F5" s="72" t="s">
        <v>325</v>
      </c>
      <c r="G5" s="147" t="s">
        <v>326</v>
      </c>
    </row>
    <row r="6" spans="2:8" ht="12.75">
      <c r="B6" s="15"/>
      <c r="C6" s="15"/>
      <c r="D6" s="15" t="s">
        <v>19</v>
      </c>
      <c r="E6" s="15" t="s">
        <v>16</v>
      </c>
      <c r="F6" s="15" t="s">
        <v>17</v>
      </c>
      <c r="G6" s="15" t="s">
        <v>18</v>
      </c>
      <c r="H6" s="15" t="s">
        <v>20</v>
      </c>
    </row>
    <row r="7" spans="2:8" ht="15">
      <c r="B7" s="5" t="s">
        <v>127</v>
      </c>
      <c r="C7" s="188" t="str">
        <f>'1-Critérios'!C19</f>
        <v>Rótulo Cenário Referência</v>
      </c>
      <c r="D7" s="73">
        <v>0</v>
      </c>
      <c r="E7" s="74">
        <v>0.3</v>
      </c>
      <c r="F7" s="74">
        <v>0.35</v>
      </c>
      <c r="G7" s="75">
        <v>0.35</v>
      </c>
      <c r="H7" s="16">
        <f>IF(E7+F7+G7+D7=1,E7+F7+G7+D7,"CENÁRIO NÃO SOMANDO 100%")</f>
        <v>0.9999999999999999</v>
      </c>
    </row>
    <row r="8" spans="2:8" ht="15">
      <c r="B8" s="5" t="s">
        <v>128</v>
      </c>
      <c r="C8" s="188" t="str">
        <f>'1-Critérios'!C20</f>
        <v>Rótulo Cenário Alternativo 1</v>
      </c>
      <c r="D8" s="76">
        <v>0.15</v>
      </c>
      <c r="E8" s="71">
        <v>0.25</v>
      </c>
      <c r="F8" s="71">
        <v>0.3</v>
      </c>
      <c r="G8" s="77">
        <v>0.3</v>
      </c>
      <c r="H8" s="16">
        <f>IF(E8+F8+G8+D8=1,E8+F8+G8+D8,"CENÁRIO NÃO SOMANDO 100%")</f>
        <v>1</v>
      </c>
    </row>
    <row r="9" spans="2:8" ht="15">
      <c r="B9" s="5" t="s">
        <v>129</v>
      </c>
      <c r="C9" s="188" t="str">
        <f>IF(K1=0,"",'1-Critérios'!C21)</f>
        <v>Rótulo Cenário Alternativo 1</v>
      </c>
      <c r="D9" s="76">
        <v>0.3</v>
      </c>
      <c r="E9" s="71">
        <v>0.2</v>
      </c>
      <c r="F9" s="71">
        <v>0.25</v>
      </c>
      <c r="G9" s="77">
        <v>0.25</v>
      </c>
      <c r="H9" s="16">
        <f>IF(E9+F9+G9+D9=1,E9+F9+G9+D9,"CENÁRIO NÃO SOMANDO 100%")</f>
        <v>1</v>
      </c>
    </row>
    <row r="10" spans="2:8" ht="15">
      <c r="B10" s="5" t="s">
        <v>130</v>
      </c>
      <c r="C10" s="188" t="str">
        <f>IF(M1=0,"",'1-Critérios'!C22)</f>
        <v>Rótulo Cenário Alternativo 1</v>
      </c>
      <c r="D10" s="78">
        <v>0.45</v>
      </c>
      <c r="E10" s="79">
        <v>0.15</v>
      </c>
      <c r="F10" s="79">
        <v>0.2</v>
      </c>
      <c r="G10" s="80">
        <v>0.2</v>
      </c>
      <c r="H10" s="16">
        <f>IF(E10+F10+G10+D10=1,E10+F10+G10+D10,"CENÁRIO NÃO SOMANDO 100%")</f>
        <v>1</v>
      </c>
    </row>
    <row r="11" ht="12.75">
      <c r="D11" s="6" t="s">
        <v>355</v>
      </c>
    </row>
    <row r="13" ht="12.75">
      <c r="B13" s="14" t="s">
        <v>225</v>
      </c>
    </row>
    <row r="14" spans="3:5" ht="12.75">
      <c r="C14" s="14" t="s">
        <v>21</v>
      </c>
      <c r="D14" s="206">
        <v>0.2</v>
      </c>
      <c r="E14" s="6" t="s">
        <v>327</v>
      </c>
    </row>
    <row r="15" spans="3:4" ht="12.75">
      <c r="C15" s="14" t="s">
        <v>22</v>
      </c>
      <c r="D15" s="207">
        <v>0.4</v>
      </c>
    </row>
    <row r="16" spans="3:4" ht="12.75">
      <c r="C16" s="14" t="s">
        <v>23</v>
      </c>
      <c r="D16" s="207">
        <v>0.6</v>
      </c>
    </row>
    <row r="17" spans="3:4" ht="12.75">
      <c r="C17" s="14" t="s">
        <v>24</v>
      </c>
      <c r="D17" s="207">
        <v>0.8</v>
      </c>
    </row>
    <row r="18" spans="3:4" ht="12.75">
      <c r="C18" s="14" t="s">
        <v>25</v>
      </c>
      <c r="D18" s="208">
        <v>1</v>
      </c>
    </row>
    <row r="21" spans="2:7" ht="15">
      <c r="B21" s="5" t="s">
        <v>226</v>
      </c>
      <c r="C21" s="198" t="str">
        <f>'1-Critérios'!$C$20</f>
        <v>Rótulo Cenário Alternativo 1</v>
      </c>
      <c r="D21" s="15" t="s">
        <v>185</v>
      </c>
      <c r="E21" s="15" t="s">
        <v>186</v>
      </c>
      <c r="F21" s="15" t="s">
        <v>187</v>
      </c>
      <c r="G21" s="15" t="s">
        <v>188</v>
      </c>
    </row>
    <row r="22" spans="4:7" ht="15">
      <c r="D22" s="199" t="str">
        <f>'1-Critérios'!C11</f>
        <v>Nome do fármaco avaliado</v>
      </c>
      <c r="E22" s="200" t="str">
        <f>E5</f>
        <v>Comparador 1</v>
      </c>
      <c r="F22" s="200" t="str">
        <f>F5</f>
        <v>Comparador 2</v>
      </c>
      <c r="G22" s="201" t="str">
        <f>G5</f>
        <v>Comparador 3</v>
      </c>
    </row>
    <row r="23" spans="4:8" ht="12.75">
      <c r="D23" s="15" t="s">
        <v>19</v>
      </c>
      <c r="E23" s="15" t="s">
        <v>16</v>
      </c>
      <c r="F23" s="15" t="s">
        <v>17</v>
      </c>
      <c r="G23" s="15" t="s">
        <v>18</v>
      </c>
      <c r="H23" s="15" t="s">
        <v>20</v>
      </c>
    </row>
    <row r="24" spans="3:8" ht="12.75">
      <c r="C24" s="14" t="s">
        <v>21</v>
      </c>
      <c r="D24" s="189">
        <f>$D$8*D14</f>
        <v>0.03</v>
      </c>
      <c r="E24" s="190">
        <f>$E$8+($D$8-$D24)*$E$8/($E$8+$F$8+$G$8)</f>
        <v>0.2852941176470588</v>
      </c>
      <c r="F24" s="190">
        <f>$F$8+($D$8-$D24)*$F$8/($E$8+$F$8+$G$8)</f>
        <v>0.3423529411764706</v>
      </c>
      <c r="G24" s="191">
        <f>$G$8+($D$8-$D24)*$G$8/($E$8+$F$8+$G$8)</f>
        <v>0.3423529411764706</v>
      </c>
      <c r="H24" s="32">
        <f>D24+E24+F24+G24</f>
        <v>1</v>
      </c>
    </row>
    <row r="25" spans="3:8" ht="12.75">
      <c r="C25" s="187" t="s">
        <v>22</v>
      </c>
      <c r="D25" s="192">
        <f>$D$8*D15</f>
        <v>0.06</v>
      </c>
      <c r="E25" s="193">
        <f>$E$8+($D$8-$D25)*$E$8/($E$8+$F$8+$G$8)</f>
        <v>0.27647058823529413</v>
      </c>
      <c r="F25" s="193">
        <f>$F$8+($D$8-$D25)*$F$8/($E$8+$F$8+$G$8)</f>
        <v>0.3317647058823529</v>
      </c>
      <c r="G25" s="194">
        <f>$G$8+($D$8-$D25)*$G$8/($E$8+$F$8+$G$8)</f>
        <v>0.3317647058823529</v>
      </c>
      <c r="H25" s="32">
        <f>D25+E25+F25+G25</f>
        <v>1</v>
      </c>
    </row>
    <row r="26" spans="3:8" ht="12.75">
      <c r="C26" s="14" t="s">
        <v>23</v>
      </c>
      <c r="D26" s="192">
        <f>$D$8*D16</f>
        <v>0.09</v>
      </c>
      <c r="E26" s="193">
        <f>$E$8+($D$8-$D26)*$E$8/($E$8+$F$8+$G$8)</f>
        <v>0.2676470588235294</v>
      </c>
      <c r="F26" s="193">
        <f>$F$8+($D$8-$D26)*$F$8/($E$8+$F$8+$G$8)</f>
        <v>0.3211764705882353</v>
      </c>
      <c r="G26" s="194">
        <f>$G$8+($D$8-$D26)*$G$8/($E$8+$F$8+$G$8)</f>
        <v>0.3211764705882353</v>
      </c>
      <c r="H26" s="32">
        <f>D26+E26+F26+G26</f>
        <v>1</v>
      </c>
    </row>
    <row r="27" spans="3:8" ht="12.75">
      <c r="C27" s="187" t="s">
        <v>24</v>
      </c>
      <c r="D27" s="192">
        <f>$D$8*D17</f>
        <v>0.12</v>
      </c>
      <c r="E27" s="193">
        <f>$E$8+($D$8-$D27)*$E$8/($E$8+$F$8+$G$8)</f>
        <v>0.25882352941176473</v>
      </c>
      <c r="F27" s="193">
        <f>$F$8+($D$8-$D27)*$F$8/($E$8+$F$8+$G$8)</f>
        <v>0.3105882352941176</v>
      </c>
      <c r="G27" s="194">
        <f>$G$8+($D$8-$D27)*$G$8/($E$8+$F$8+$G$8)</f>
        <v>0.3105882352941176</v>
      </c>
      <c r="H27" s="32">
        <f>D27+E27+F27+G27</f>
        <v>1</v>
      </c>
    </row>
    <row r="28" spans="3:8" ht="12.75">
      <c r="C28" s="14" t="s">
        <v>25</v>
      </c>
      <c r="D28" s="195">
        <f>$D$8*D18</f>
        <v>0.15</v>
      </c>
      <c r="E28" s="196">
        <f>$E$8+($D$8-$D28)*$E$8/($E$8+$F$8+$G$8)</f>
        <v>0.25</v>
      </c>
      <c r="F28" s="196">
        <f>$F$8+($D$8-$D28)*$F$8/($E$8+$F$8+$G$8)</f>
        <v>0.3</v>
      </c>
      <c r="G28" s="197">
        <f>$G$8+($D$8-$D28)*$G$8/($E$8+$F$8+$G$8)</f>
        <v>0.3</v>
      </c>
      <c r="H28" s="32">
        <f>D28+E28+F28+G28</f>
        <v>1</v>
      </c>
    </row>
    <row r="29" spans="3:8" ht="12.75">
      <c r="C29" s="14"/>
      <c r="D29" s="14"/>
      <c r="E29" s="14"/>
      <c r="F29" s="14"/>
      <c r="G29" s="14"/>
      <c r="H29" s="32"/>
    </row>
    <row r="31" spans="2:7" ht="15">
      <c r="B31" s="5" t="s">
        <v>239</v>
      </c>
      <c r="C31" s="198" t="str">
        <f>'1-Critérios'!C21</f>
        <v>Rótulo Cenário Alternativo 1</v>
      </c>
      <c r="D31" s="15" t="s">
        <v>185</v>
      </c>
      <c r="E31" s="15" t="s">
        <v>186</v>
      </c>
      <c r="F31" s="15" t="s">
        <v>187</v>
      </c>
      <c r="G31" s="15" t="s">
        <v>188</v>
      </c>
    </row>
    <row r="32" spans="4:7" ht="15">
      <c r="D32" s="209" t="str">
        <f>'1-Critérios'!C11</f>
        <v>Nome do fármaco avaliado</v>
      </c>
      <c r="E32" s="210" t="str">
        <f>E5</f>
        <v>Comparador 1</v>
      </c>
      <c r="F32" s="210" t="str">
        <f>F5</f>
        <v>Comparador 2</v>
      </c>
      <c r="G32" s="211" t="str">
        <f>G5</f>
        <v>Comparador 3</v>
      </c>
    </row>
    <row r="33" spans="4:8" ht="12.75">
      <c r="D33" s="15" t="s">
        <v>19</v>
      </c>
      <c r="E33" s="15" t="s">
        <v>16</v>
      </c>
      <c r="F33" s="15" t="s">
        <v>17</v>
      </c>
      <c r="G33" s="15" t="s">
        <v>18</v>
      </c>
      <c r="H33" s="15" t="s">
        <v>20</v>
      </c>
    </row>
    <row r="34" spans="3:8" ht="12.75">
      <c r="C34" s="14" t="s">
        <v>21</v>
      </c>
      <c r="D34" s="189">
        <f>$D$9*D14</f>
        <v>0.06</v>
      </c>
      <c r="E34" s="190">
        <f>$E$9+($D$9-$D34)*$E$9/($E$9+$F$9+$G$9)</f>
        <v>0.26857142857142857</v>
      </c>
      <c r="F34" s="190">
        <f>$F$9+($D$9-$D34)*$F$9/($E$9+$F$9+$G$9)</f>
        <v>0.33571428571428574</v>
      </c>
      <c r="G34" s="191">
        <f>$G$9+($D$9-$D34)*$G$9/($E$9+$F$9+$G$9)</f>
        <v>0.33571428571428574</v>
      </c>
      <c r="H34" s="32">
        <f>D34+E34+F34+G34</f>
        <v>1</v>
      </c>
    </row>
    <row r="35" spans="3:8" ht="12.75">
      <c r="C35" s="187" t="s">
        <v>22</v>
      </c>
      <c r="D35" s="192">
        <f>$D$9*D15</f>
        <v>0.12</v>
      </c>
      <c r="E35" s="193">
        <f>$E$9+($D$9-$D35)*$E$9/($E$9+$F$9+$G$9)</f>
        <v>0.25142857142857145</v>
      </c>
      <c r="F35" s="193">
        <f>$F$9+($D$9-$D35)*$F$9/($E$9+$F$9+$G$9)</f>
        <v>0.3142857142857143</v>
      </c>
      <c r="G35" s="194">
        <f>$G$9+($D$9-$D35)*$G$9/($E$9+$F$9+$G$9)</f>
        <v>0.3142857142857143</v>
      </c>
      <c r="H35" s="32">
        <f>D35+E35+F35+G35</f>
        <v>1</v>
      </c>
    </row>
    <row r="36" spans="3:8" ht="12.75">
      <c r="C36" s="14" t="s">
        <v>23</v>
      </c>
      <c r="D36" s="192">
        <f>$D$9*D16</f>
        <v>0.18</v>
      </c>
      <c r="E36" s="193">
        <f>$E$9+($D$9-$D36)*$E$9/($E$9+$F$9+$G$9)</f>
        <v>0.2342857142857143</v>
      </c>
      <c r="F36" s="193">
        <f>$F$9+($D$9-$D36)*$F$9/($E$9+$F$9+$G$9)</f>
        <v>0.29285714285714287</v>
      </c>
      <c r="G36" s="194">
        <f>$G$9+($D$9-$D36)*$G$9/($E$9+$F$9+$G$9)</f>
        <v>0.29285714285714287</v>
      </c>
      <c r="H36" s="32">
        <f>D36+E36+F36+G36</f>
        <v>1</v>
      </c>
    </row>
    <row r="37" spans="3:8" ht="12.75">
      <c r="C37" s="187" t="s">
        <v>24</v>
      </c>
      <c r="D37" s="192">
        <f>$D$9*D17</f>
        <v>0.24</v>
      </c>
      <c r="E37" s="193">
        <f>$E$9+($D$9-$D37)*$E$9/($E$9+$F$9+$G$9)</f>
        <v>0.21714285714285717</v>
      </c>
      <c r="F37" s="193">
        <f>$F$9+($D$9-$D37)*$F$9/($E$9+$F$9+$G$9)</f>
        <v>0.2714285714285714</v>
      </c>
      <c r="G37" s="194">
        <f>$G$9+($D$9-$D37)*$G$9/($E$9+$F$9+$G$9)</f>
        <v>0.2714285714285714</v>
      </c>
      <c r="H37" s="32">
        <f>D37+E37+F37+G37</f>
        <v>1</v>
      </c>
    </row>
    <row r="38" spans="3:8" ht="12.75">
      <c r="C38" s="14" t="s">
        <v>25</v>
      </c>
      <c r="D38" s="195">
        <f>$D$9*D18</f>
        <v>0.3</v>
      </c>
      <c r="E38" s="196">
        <f>$E$9+($D$9-$D38)*$E$9/($E$9+$F$9+$G$9)</f>
        <v>0.2</v>
      </c>
      <c r="F38" s="196">
        <f>$F$9+($D$9-$D38)*$F$9/($E$9+$F$9+$G$9)</f>
        <v>0.25</v>
      </c>
      <c r="G38" s="197">
        <f>$G$9+($D$9-$D38)*$G$9/($E$9+$F$9+$G$9)</f>
        <v>0.25</v>
      </c>
      <c r="H38" s="32">
        <f>D38+E38+F38+G38</f>
        <v>1</v>
      </c>
    </row>
    <row r="39" spans="3:4" ht="12.75">
      <c r="C39" s="14"/>
      <c r="D39" s="14"/>
    </row>
    <row r="41" spans="2:7" ht="15">
      <c r="B41" s="5" t="s">
        <v>240</v>
      </c>
      <c r="C41" s="198" t="str">
        <f>'1-Critérios'!C22</f>
        <v>Rótulo Cenário Alternativo 1</v>
      </c>
      <c r="D41" s="15" t="s">
        <v>185</v>
      </c>
      <c r="E41" s="15" t="s">
        <v>186</v>
      </c>
      <c r="F41" s="15" t="s">
        <v>187</v>
      </c>
      <c r="G41" s="15" t="s">
        <v>188</v>
      </c>
    </row>
    <row r="42" spans="4:7" ht="15">
      <c r="D42" s="209" t="str">
        <f>'1-Critérios'!C11</f>
        <v>Nome do fármaco avaliado</v>
      </c>
      <c r="E42" s="210" t="str">
        <f>E5</f>
        <v>Comparador 1</v>
      </c>
      <c r="F42" s="210" t="str">
        <f>F5</f>
        <v>Comparador 2</v>
      </c>
      <c r="G42" s="211" t="str">
        <f>G5</f>
        <v>Comparador 3</v>
      </c>
    </row>
    <row r="43" spans="4:8" ht="12.75">
      <c r="D43" s="15" t="s">
        <v>19</v>
      </c>
      <c r="E43" s="15" t="s">
        <v>16</v>
      </c>
      <c r="F43" s="15" t="s">
        <v>17</v>
      </c>
      <c r="G43" s="15" t="s">
        <v>18</v>
      </c>
      <c r="H43" s="15" t="s">
        <v>20</v>
      </c>
    </row>
    <row r="44" spans="3:8" ht="12.75">
      <c r="C44" s="14" t="s">
        <v>21</v>
      </c>
      <c r="D44" s="189">
        <f>$D$10*D14</f>
        <v>0.09000000000000001</v>
      </c>
      <c r="E44" s="190">
        <f>$E$10+($D$10-$D44)*$E$10/($E$10+$F$10+$G$10)</f>
        <v>0.24818181818181817</v>
      </c>
      <c r="F44" s="190">
        <f>$F$10+($D$10-$D44)*$F$10/($E$10+$F$10+$G$10)</f>
        <v>0.33090909090909093</v>
      </c>
      <c r="G44" s="191">
        <f>$G$10+($D$10-$D44)*$G$10/($E$10+$F$10+$G$10)</f>
        <v>0.33090909090909093</v>
      </c>
      <c r="H44" s="32">
        <f>D44+E44+F44+G44</f>
        <v>1</v>
      </c>
    </row>
    <row r="45" spans="3:8" ht="12.75">
      <c r="C45" s="187" t="s">
        <v>22</v>
      </c>
      <c r="D45" s="192">
        <f>$D$10*D15</f>
        <v>0.18000000000000002</v>
      </c>
      <c r="E45" s="193">
        <f>$E$10+($D$10-$D45)*$E$10/($E$10+$F$10+$G$10)</f>
        <v>0.22363636363636363</v>
      </c>
      <c r="F45" s="193">
        <f>$F$10+($D$10-$D45)*$F$10/($E$10+$F$10+$G$10)</f>
        <v>0.2981818181818182</v>
      </c>
      <c r="G45" s="194">
        <f>$G$10+($D$10-$D45)*$G$10/($E$10+$F$10+$G$10)</f>
        <v>0.2981818181818182</v>
      </c>
      <c r="H45" s="32">
        <f>D45+E45+F45+G45</f>
        <v>1</v>
      </c>
    </row>
    <row r="46" spans="3:8" ht="12.75">
      <c r="C46" s="14" t="s">
        <v>23</v>
      </c>
      <c r="D46" s="192">
        <f>$D$10*D16</f>
        <v>0.27</v>
      </c>
      <c r="E46" s="193">
        <f>$E$10+($D$10-$D46)*$E$10/($E$10+$F$10+$G$10)</f>
        <v>0.1990909090909091</v>
      </c>
      <c r="F46" s="193">
        <f>$F$10+($D$10-$D46)*$F$10/($E$10+$F$10+$G$10)</f>
        <v>0.26545454545454544</v>
      </c>
      <c r="G46" s="194">
        <f>$G$10+($D$10-$D46)*$G$10/($E$10+$F$10+$G$10)</f>
        <v>0.26545454545454544</v>
      </c>
      <c r="H46" s="32">
        <f>D46+E46+F46+G46</f>
        <v>1</v>
      </c>
    </row>
    <row r="47" spans="3:8" ht="12.75">
      <c r="C47" s="187" t="s">
        <v>24</v>
      </c>
      <c r="D47" s="192">
        <f>$D$10*D17</f>
        <v>0.36000000000000004</v>
      </c>
      <c r="E47" s="193">
        <f>$E$10+($D$10-$D47)*$E$10/($E$10+$F$10+$G$10)</f>
        <v>0.17454545454545453</v>
      </c>
      <c r="F47" s="193">
        <f>$F$10+($D$10-$D47)*$F$10/($E$10+$F$10+$G$10)</f>
        <v>0.23272727272727273</v>
      </c>
      <c r="G47" s="194">
        <f>$G$10+($D$10-$D47)*$G$10/($E$10+$F$10+$G$10)</f>
        <v>0.23272727272727273</v>
      </c>
      <c r="H47" s="32">
        <f>D47+E47+F47+G47</f>
        <v>1</v>
      </c>
    </row>
    <row r="48" spans="3:8" ht="12.75">
      <c r="C48" s="14" t="s">
        <v>25</v>
      </c>
      <c r="D48" s="195">
        <f>$D$10*D18</f>
        <v>0.45</v>
      </c>
      <c r="E48" s="196">
        <f>$E$10+($D$10-$D48)*$E$10/($E$10+$F$10+$G$10)</f>
        <v>0.15</v>
      </c>
      <c r="F48" s="196">
        <f>$F$10+($D$10-$D48)*$F$10/($E$10+$F$10+$G$10)</f>
        <v>0.2</v>
      </c>
      <c r="G48" s="197">
        <f>$G$10+($D$10-$D48)*$G$10/($E$10+$F$10+$G$10)</f>
        <v>0.2</v>
      </c>
      <c r="H48" s="32">
        <f>D48+E48+F48+G48</f>
        <v>1</v>
      </c>
    </row>
  </sheetData>
  <sheetProtection/>
  <conditionalFormatting sqref="C9">
    <cfRule type="expression" priority="47" dxfId="8" stopIfTrue="1">
      <formula>'2-Cenários'!#REF!=0</formula>
    </cfRule>
  </conditionalFormatting>
  <conditionalFormatting sqref="H9">
    <cfRule type="expression" priority="42" dxfId="8" stopIfTrue="1">
      <formula>'2-Cenários'!#REF!=0</formula>
    </cfRule>
  </conditionalFormatting>
  <conditionalFormatting sqref="C10">
    <cfRule type="expression" priority="41" dxfId="8" stopIfTrue="1">
      <formula>'2-Cenários'!#REF!=0</formula>
    </cfRule>
  </conditionalFormatting>
  <conditionalFormatting sqref="H10">
    <cfRule type="expression" priority="36" dxfId="8" stopIfTrue="1">
      <formula>'2-Cenários'!#REF!=0</formula>
    </cfRule>
  </conditionalFormatting>
  <conditionalFormatting sqref="D10:G10">
    <cfRule type="expression" priority="34" dxfId="22" stopIfTrue="1">
      <formula>$M$1=0</formula>
    </cfRule>
  </conditionalFormatting>
  <conditionalFormatting sqref="B10">
    <cfRule type="expression" priority="33" dxfId="57" stopIfTrue="1">
      <formula>'2-Cenários'!#REF!=0</formula>
    </cfRule>
  </conditionalFormatting>
  <conditionalFormatting sqref="D9:G9">
    <cfRule type="expression" priority="31" dxfId="22" stopIfTrue="1">
      <formula>$K$1=0</formula>
    </cfRule>
    <cfRule type="expression" priority="32" dxfId="63" stopIfTrue="1">
      <formula>$M$1=0</formula>
    </cfRule>
  </conditionalFormatting>
  <conditionalFormatting sqref="B9">
    <cfRule type="expression" priority="30" dxfId="8" stopIfTrue="1">
      <formula>'2-Cenários'!#REF!=0</formula>
    </cfRule>
  </conditionalFormatting>
  <conditionalFormatting sqref="D8:G8">
    <cfRule type="expression" priority="29" dxfId="63" stopIfTrue="1">
      <formula>$K$1=0</formula>
    </cfRule>
  </conditionalFormatting>
  <conditionalFormatting sqref="B31:H38">
    <cfRule type="expression" priority="16" dxfId="22" stopIfTrue="1">
      <formula>$K$1=0</formula>
    </cfRule>
  </conditionalFormatting>
  <conditionalFormatting sqref="B41:H48">
    <cfRule type="expression" priority="15" dxfId="22" stopIfTrue="1">
      <formula>$M$1=0</formula>
    </cfRule>
  </conditionalFormatting>
  <conditionalFormatting sqref="G4 G6 G21 G23 G31 G33 G41 G43">
    <cfRule type="expression" priority="13" dxfId="22" stopIfTrue="1">
      <formula>$J$1&lt;4</formula>
    </cfRule>
  </conditionalFormatting>
  <conditionalFormatting sqref="G42 G44:G48 G34:G38 G32 G22 G24:G28 G5 G7:G10">
    <cfRule type="expression" priority="12" dxfId="22" stopIfTrue="1">
      <formula>$J$1&lt;4</formula>
    </cfRule>
  </conditionalFormatting>
  <conditionalFormatting sqref="F4 F6 F21 F23 F31 F33 F41 F43">
    <cfRule type="expression" priority="11" dxfId="22" stopIfTrue="1">
      <formula>$J$1&lt;3</formula>
    </cfRule>
  </conditionalFormatting>
  <conditionalFormatting sqref="F44:F48 F42 F34:F38 F32 F24:F28 F22 F7:F10 F5">
    <cfRule type="expression" priority="10" dxfId="64">
      <formula>$J$1&lt;3</formula>
    </cfRule>
  </conditionalFormatting>
  <conditionalFormatting sqref="F44:F48 F42 F34:F38 F32 F24:F28 F22 F7:F10 F5">
    <cfRule type="expression" priority="9" dxfId="65" stopIfTrue="1">
      <formula>$J$1=3</formula>
    </cfRule>
  </conditionalFormatting>
  <conditionalFormatting sqref="C48:H48 C38:H38 C28:H28 C18:D18">
    <cfRule type="expression" priority="8" dxfId="22" stopIfTrue="1">
      <formula>$L$1&lt;5</formula>
    </cfRule>
  </conditionalFormatting>
  <conditionalFormatting sqref="C47:H47 C37:H37 C27:H27 C17:D17">
    <cfRule type="expression" priority="7" dxfId="22" stopIfTrue="1">
      <formula>$L$1&lt;4</formula>
    </cfRule>
  </conditionalFormatting>
  <conditionalFormatting sqref="D48:G48 D38:G38 D28:G28 D18">
    <cfRule type="expression" priority="6" dxfId="66" stopIfTrue="1">
      <formula>$L$1=4</formula>
    </cfRule>
  </conditionalFormatting>
  <conditionalFormatting sqref="D17 D27:G27 D37:G37 D47:G47">
    <cfRule type="expression" priority="5" dxfId="66" stopIfTrue="1">
      <formula>$L$1=3</formula>
    </cfRule>
  </conditionalFormatting>
  <conditionalFormatting sqref="C46:G46 C36:G36 C26:G26 C16:D16">
    <cfRule type="expression" priority="4" dxfId="22" stopIfTrue="1">
      <formula>$L$1&lt;3</formula>
    </cfRule>
  </conditionalFormatting>
  <conditionalFormatting sqref="D16 D26:G26 D36:G36 D46:G46">
    <cfRule type="expression" priority="3" dxfId="66" stopIfTrue="1">
      <formula>$L$1=2</formula>
    </cfRule>
  </conditionalFormatting>
  <conditionalFormatting sqref="D15 D25:G25 D35:G35 D45:G45">
    <cfRule type="expression" priority="2" dxfId="66" stopIfTrue="1">
      <formula>$L$1=1</formula>
    </cfRule>
  </conditionalFormatting>
  <conditionalFormatting sqref="C15 C25 C35 C45">
    <cfRule type="expression" priority="1" dxfId="22" stopIfTrue="1">
      <formula>$L$1=1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6" customWidth="1"/>
    <col min="2" max="2" width="61.7109375" style="6" bestFit="1" customWidth="1"/>
    <col min="3" max="3" width="38.8515625" style="15" bestFit="1" customWidth="1"/>
    <col min="4" max="4" width="21.421875" style="15" customWidth="1"/>
    <col min="5" max="5" width="20.7109375" style="6" customWidth="1"/>
    <col min="6" max="16384" width="9.140625" style="6" customWidth="1"/>
  </cols>
  <sheetData>
    <row r="1" ht="12.75">
      <c r="A1" s="7" t="s">
        <v>153</v>
      </c>
    </row>
    <row r="2" ht="12.75">
      <c r="B2" s="14" t="s">
        <v>189</v>
      </c>
    </row>
    <row r="3" ht="12.75">
      <c r="B3" s="150" t="s">
        <v>190</v>
      </c>
    </row>
    <row r="5" ht="12.75">
      <c r="B5" s="14" t="s">
        <v>26</v>
      </c>
    </row>
    <row r="6" spans="2:4" ht="12.75">
      <c r="B6" s="151" t="s">
        <v>191</v>
      </c>
      <c r="C6" s="81" t="s">
        <v>328</v>
      </c>
      <c r="D6" s="152"/>
    </row>
    <row r="7" spans="2:5" ht="12.75">
      <c r="B7" s="153" t="s">
        <v>27</v>
      </c>
      <c r="C7" s="82" t="s">
        <v>329</v>
      </c>
      <c r="D7" s="154" t="s">
        <v>28</v>
      </c>
      <c r="E7" s="17" t="s">
        <v>29</v>
      </c>
    </row>
    <row r="8" spans="2:5" ht="12.75">
      <c r="B8" s="153" t="s">
        <v>192</v>
      </c>
      <c r="C8" s="88" t="s">
        <v>330</v>
      </c>
      <c r="D8" s="89" t="s">
        <v>331</v>
      </c>
      <c r="E8" s="17" t="s">
        <v>30</v>
      </c>
    </row>
    <row r="9" spans="2:5" ht="12.75">
      <c r="B9" s="153" t="s">
        <v>31</v>
      </c>
      <c r="C9" s="84" t="s">
        <v>332</v>
      </c>
      <c r="D9" s="154"/>
      <c r="E9" s="17" t="s">
        <v>32</v>
      </c>
    </row>
    <row r="10" spans="2:4" ht="15.75">
      <c r="B10" s="153" t="s">
        <v>193</v>
      </c>
      <c r="C10" s="18" t="e">
        <f>C7*C8*C9</f>
        <v>#VALUE!</v>
      </c>
      <c r="D10" s="154" t="s">
        <v>28</v>
      </c>
    </row>
    <row r="11" spans="2:4" ht="12.75">
      <c r="B11" s="155" t="s">
        <v>33</v>
      </c>
      <c r="C11" s="156"/>
      <c r="D11" s="157"/>
    </row>
    <row r="14" spans="2:4" ht="12.75">
      <c r="B14" s="159" t="s">
        <v>34</v>
      </c>
      <c r="C14" s="160"/>
      <c r="D14" s="152"/>
    </row>
    <row r="15" spans="2:4" ht="38.25">
      <c r="B15" s="158" t="s">
        <v>194</v>
      </c>
      <c r="C15" s="27"/>
      <c r="D15" s="154"/>
    </row>
    <row r="16" spans="2:4" ht="12.75">
      <c r="B16" s="153" t="s">
        <v>195</v>
      </c>
      <c r="C16" s="85" t="s">
        <v>333</v>
      </c>
      <c r="D16" s="154"/>
    </row>
    <row r="17" spans="2:4" ht="12.75">
      <c r="B17" s="153" t="s">
        <v>193</v>
      </c>
      <c r="C17" s="86">
        <v>99999</v>
      </c>
      <c r="D17" s="154"/>
    </row>
    <row r="18" spans="2:4" ht="12.75">
      <c r="B18" s="161"/>
      <c r="C18" s="156"/>
      <c r="D18" s="157"/>
    </row>
    <row r="21" spans="2:4" ht="12.75">
      <c r="B21" s="6" t="s">
        <v>35</v>
      </c>
      <c r="C21" s="85" t="s">
        <v>144</v>
      </c>
      <c r="D21" s="19"/>
    </row>
    <row r="22" spans="2:4" ht="12.75">
      <c r="B22" s="6" t="s">
        <v>36</v>
      </c>
      <c r="C22" s="87" t="e">
        <f>IF(C21="Epidemiológico",C10,C17)</f>
        <v>#VALUE!</v>
      </c>
      <c r="D22" s="19"/>
    </row>
  </sheetData>
  <sheetProtection/>
  <dataValidations count="1">
    <dataValidation type="list" allowBlank="1" showInputMessage="1" showErrorMessage="1" sqref="C21">
      <formula1>epirem</formula1>
    </dataValidation>
  </dataValidations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9.140625" style="6" customWidth="1"/>
    <col min="2" max="2" width="61.7109375" style="6" customWidth="1"/>
    <col min="3" max="3" width="25.28125" style="6" customWidth="1"/>
    <col min="4" max="4" width="9.140625" style="6" customWidth="1"/>
    <col min="5" max="5" width="31.7109375" style="6" customWidth="1"/>
    <col min="6" max="16384" width="9.140625" style="6" customWidth="1"/>
  </cols>
  <sheetData>
    <row r="1" ht="12.75">
      <c r="A1" s="7" t="s">
        <v>153</v>
      </c>
    </row>
    <row r="2" ht="12.75">
      <c r="B2" s="14" t="s">
        <v>37</v>
      </c>
    </row>
    <row r="4" spans="2:5" ht="12.75">
      <c r="B4" s="151"/>
      <c r="C4" s="162" t="s">
        <v>15</v>
      </c>
      <c r="D4" s="162" t="s">
        <v>38</v>
      </c>
      <c r="E4" s="163" t="s">
        <v>39</v>
      </c>
    </row>
    <row r="5" spans="2:10" ht="12.75">
      <c r="B5" s="153" t="s">
        <v>40</v>
      </c>
      <c r="C5" s="26" t="s">
        <v>41</v>
      </c>
      <c r="D5" s="164">
        <v>1</v>
      </c>
      <c r="E5" s="165" t="e">
        <f>'3-População de Interesse'!C22</f>
        <v>#VALUE!</v>
      </c>
      <c r="J5" s="20"/>
    </row>
    <row r="6" spans="2:5" ht="15.75">
      <c r="B6" s="153" t="s">
        <v>42</v>
      </c>
      <c r="C6" s="90" t="s">
        <v>243</v>
      </c>
      <c r="D6" s="91">
        <v>0.5</v>
      </c>
      <c r="E6" s="166" t="e">
        <f>E5*D6</f>
        <v>#VALUE!</v>
      </c>
    </row>
    <row r="7" spans="2:5" ht="15.75">
      <c r="B7" s="153" t="s">
        <v>43</v>
      </c>
      <c r="C7" s="92" t="s">
        <v>334</v>
      </c>
      <c r="D7" s="93">
        <v>0.5</v>
      </c>
      <c r="E7" s="166" t="e">
        <f>E6*D7</f>
        <v>#VALUE!</v>
      </c>
    </row>
    <row r="8" spans="2:5" ht="15.75">
      <c r="B8" s="153" t="s">
        <v>44</v>
      </c>
      <c r="C8" s="92" t="s">
        <v>335</v>
      </c>
      <c r="D8" s="93">
        <v>0.7</v>
      </c>
      <c r="E8" s="166" t="e">
        <f>E7*D8</f>
        <v>#VALUE!</v>
      </c>
    </row>
    <row r="9" spans="2:5" ht="15.75">
      <c r="B9" s="153" t="s">
        <v>45</v>
      </c>
      <c r="C9" s="94" t="s">
        <v>336</v>
      </c>
      <c r="D9" s="95">
        <v>0</v>
      </c>
      <c r="E9" s="166" t="e">
        <f>E8*D9</f>
        <v>#VALUE!</v>
      </c>
    </row>
    <row r="10" spans="2:5" ht="12.75">
      <c r="B10" s="153"/>
      <c r="C10" s="26"/>
      <c r="D10" s="26"/>
      <c r="E10" s="167"/>
    </row>
    <row r="11" spans="2:5" ht="12.75">
      <c r="B11" s="153" t="s">
        <v>46</v>
      </c>
      <c r="C11" s="212" t="s">
        <v>243</v>
      </c>
      <c r="D11" s="168"/>
      <c r="E11" s="167"/>
    </row>
    <row r="12" spans="2:5" ht="12.75">
      <c r="B12" s="153" t="s">
        <v>48</v>
      </c>
      <c r="C12" s="87" t="e">
        <f>IF(C11="Restrição 1",E6,IF(C11="Restrições 1 e 2",E7,IF(C11="Restrições 1, 2 e 3",E8,E9)))</f>
        <v>#VALUE!</v>
      </c>
      <c r="D12" s="168"/>
      <c r="E12" s="167"/>
    </row>
    <row r="13" spans="2:5" ht="12.75">
      <c r="B13" s="153"/>
      <c r="C13" s="27"/>
      <c r="D13" s="26"/>
      <c r="E13" s="167"/>
    </row>
    <row r="14" spans="2:5" ht="12.75">
      <c r="B14" s="153" t="s">
        <v>338</v>
      </c>
      <c r="C14" s="27"/>
      <c r="D14" s="26"/>
      <c r="E14" s="167"/>
    </row>
    <row r="15" spans="2:5" ht="12.75">
      <c r="B15" s="153" t="s">
        <v>49</v>
      </c>
      <c r="C15" s="96">
        <v>0</v>
      </c>
      <c r="D15" s="26"/>
      <c r="E15" s="167"/>
    </row>
    <row r="16" spans="2:5" ht="12.75">
      <c r="B16" s="153" t="s">
        <v>50</v>
      </c>
      <c r="C16" s="97">
        <v>0</v>
      </c>
      <c r="D16" s="26"/>
      <c r="E16" s="167"/>
    </row>
    <row r="17" spans="2:5" ht="12.75">
      <c r="B17" s="153" t="s">
        <v>51</v>
      </c>
      <c r="C17" s="84">
        <v>0</v>
      </c>
      <c r="D17" s="26"/>
      <c r="E17" s="167"/>
    </row>
    <row r="18" spans="2:5" ht="12.75">
      <c r="B18" s="153"/>
      <c r="C18" s="26"/>
      <c r="D18" s="26"/>
      <c r="E18" s="167"/>
    </row>
    <row r="19" spans="2:5" ht="15.75">
      <c r="B19" s="161" t="s">
        <v>52</v>
      </c>
      <c r="C19" s="169" t="e">
        <f>C12+C12*C15+C12*C16+C12*C17</f>
        <v>#VALUE!</v>
      </c>
      <c r="D19" s="170"/>
      <c r="E19" s="171"/>
    </row>
  </sheetData>
  <sheetProtection/>
  <dataValidations count="1">
    <dataValidation type="list" allowBlank="1" showInputMessage="1" showErrorMessage="1" sqref="C11">
      <formula1>restri</formula1>
    </dataValidation>
  </dataValidations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9.140625" style="6" customWidth="1"/>
    <col min="2" max="2" width="74.421875" style="6" customWidth="1"/>
    <col min="3" max="3" width="20.7109375" style="6" customWidth="1"/>
    <col min="4" max="4" width="23.00390625" style="6" customWidth="1"/>
    <col min="5" max="5" width="39.28125" style="6" customWidth="1"/>
    <col min="6" max="16384" width="9.140625" style="6" customWidth="1"/>
  </cols>
  <sheetData>
    <row r="1" ht="12.75">
      <c r="A1" s="7" t="s">
        <v>153</v>
      </c>
    </row>
    <row r="2" ht="12.75">
      <c r="B2" s="14" t="s">
        <v>339</v>
      </c>
    </row>
    <row r="4" spans="2:5" ht="12.75">
      <c r="B4" s="151"/>
      <c r="C4" s="162"/>
      <c r="D4" s="162"/>
      <c r="E4" s="163"/>
    </row>
    <row r="5" spans="2:5" ht="12.75">
      <c r="B5" s="153" t="s">
        <v>340</v>
      </c>
      <c r="C5" s="99">
        <v>0</v>
      </c>
      <c r="D5" s="26" t="s">
        <v>32</v>
      </c>
      <c r="E5" s="167"/>
    </row>
    <row r="6" spans="2:5" ht="12.75">
      <c r="B6" s="153" t="s">
        <v>121</v>
      </c>
      <c r="C6" s="83">
        <v>0</v>
      </c>
      <c r="D6" s="26" t="s">
        <v>53</v>
      </c>
      <c r="E6" s="167"/>
    </row>
    <row r="7" spans="2:5" ht="12.75">
      <c r="B7" s="153" t="s">
        <v>119</v>
      </c>
      <c r="C7" s="100">
        <v>0</v>
      </c>
      <c r="D7" s="26" t="s">
        <v>54</v>
      </c>
      <c r="E7" s="167"/>
    </row>
    <row r="8" spans="2:5" ht="12.75">
      <c r="B8" s="153"/>
      <c r="C8" s="26"/>
      <c r="D8" s="26"/>
      <c r="E8" s="167"/>
    </row>
    <row r="9" spans="2:5" ht="12.75">
      <c r="B9" s="153"/>
      <c r="C9" s="26"/>
      <c r="D9" s="26"/>
      <c r="E9" s="167"/>
    </row>
    <row r="10" spans="2:5" ht="12.75">
      <c r="B10" s="153"/>
      <c r="C10" s="26"/>
      <c r="D10" s="26"/>
      <c r="E10" s="167"/>
    </row>
    <row r="11" spans="2:5" ht="12.75">
      <c r="B11" s="153" t="s">
        <v>55</v>
      </c>
      <c r="C11" s="26" t="s">
        <v>56</v>
      </c>
      <c r="D11" s="26" t="s">
        <v>57</v>
      </c>
      <c r="E11" s="167" t="s">
        <v>58</v>
      </c>
    </row>
    <row r="12" spans="2:5" ht="15.75">
      <c r="B12" s="153" t="s">
        <v>196</v>
      </c>
      <c r="C12" s="176">
        <f>'2-Cenários'!D7</f>
        <v>0</v>
      </c>
      <c r="D12" s="176">
        <f>100%-C12</f>
        <v>1</v>
      </c>
      <c r="E12" s="177">
        <f>C6*D12+C7*C12</f>
        <v>0</v>
      </c>
    </row>
    <row r="13" spans="2:5" ht="15.75">
      <c r="B13" s="153" t="s">
        <v>197</v>
      </c>
      <c r="C13" s="98">
        <f>'2-Cenários'!D8</f>
        <v>0.15</v>
      </c>
      <c r="D13" s="176">
        <f>100%-C13</f>
        <v>0.85</v>
      </c>
      <c r="E13" s="177">
        <f>C6*D13+C7*C13</f>
        <v>0</v>
      </c>
    </row>
    <row r="14" spans="2:5" ht="15.75">
      <c r="B14" s="153" t="s">
        <v>198</v>
      </c>
      <c r="C14" s="98">
        <f>'2-Cenários'!D9</f>
        <v>0.3</v>
      </c>
      <c r="D14" s="176">
        <f>100%-C14</f>
        <v>0.7</v>
      </c>
      <c r="E14" s="177">
        <f>C6*D14+C7*C14</f>
        <v>0</v>
      </c>
    </row>
    <row r="15" spans="2:5" ht="15.75">
      <c r="B15" s="153" t="s">
        <v>199</v>
      </c>
      <c r="C15" s="98">
        <f>'2-Cenários'!D10</f>
        <v>0.45</v>
      </c>
      <c r="D15" s="176">
        <f>100%-C15</f>
        <v>0.55</v>
      </c>
      <c r="E15" s="177">
        <f>C6*D15+C7*C15</f>
        <v>0</v>
      </c>
    </row>
    <row r="16" spans="2:5" ht="12.75">
      <c r="B16" s="161"/>
      <c r="C16" s="170"/>
      <c r="D16" s="170"/>
      <c r="E16" s="171"/>
    </row>
  </sheetData>
  <sheetProtection/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9.140625" style="6" customWidth="1"/>
    <col min="2" max="2" width="36.28125" style="6" customWidth="1"/>
    <col min="3" max="3" width="13.00390625" style="15" customWidth="1"/>
    <col min="4" max="4" width="2.7109375" style="6" customWidth="1"/>
    <col min="5" max="5" width="58.140625" style="6" bestFit="1" customWidth="1"/>
    <col min="6" max="6" width="13.28125" style="15" bestFit="1" customWidth="1"/>
    <col min="7" max="7" width="9.140625" style="6" customWidth="1"/>
    <col min="8" max="8" width="0" style="6" hidden="1" customWidth="1"/>
    <col min="9" max="16384" width="9.140625" style="6" customWidth="1"/>
  </cols>
  <sheetData>
    <row r="1" spans="1:8" ht="12.75">
      <c r="A1" s="7" t="s">
        <v>153</v>
      </c>
      <c r="C1" s="175"/>
      <c r="H1" s="13">
        <f>'1-Critérios'!C24</f>
        <v>4</v>
      </c>
    </row>
    <row r="2" ht="12.75">
      <c r="B2" s="14" t="s">
        <v>59</v>
      </c>
    </row>
    <row r="3" ht="13.5" thickBot="1">
      <c r="B3" s="14"/>
    </row>
    <row r="4" ht="16.5" thickBot="1">
      <c r="B4" s="101" t="str">
        <f>'1-Critérios'!C11</f>
        <v>Nome do fármaco avaliado</v>
      </c>
    </row>
    <row r="5" spans="2:6" ht="12.75">
      <c r="B5" s="21" t="s">
        <v>208</v>
      </c>
      <c r="C5" s="22" t="s">
        <v>60</v>
      </c>
      <c r="D5" s="23"/>
      <c r="E5" s="172" t="s">
        <v>68</v>
      </c>
      <c r="F5" s="178" t="s">
        <v>60</v>
      </c>
    </row>
    <row r="6" spans="2:6" ht="12.75">
      <c r="B6" s="48" t="s">
        <v>201</v>
      </c>
      <c r="C6" s="106">
        <v>0</v>
      </c>
      <c r="D6" s="26"/>
      <c r="E6" s="173" t="s">
        <v>61</v>
      </c>
      <c r="F6" s="179">
        <v>0</v>
      </c>
    </row>
    <row r="7" spans="2:6" ht="12.75">
      <c r="B7" s="48" t="s">
        <v>202</v>
      </c>
      <c r="C7" s="107">
        <v>0</v>
      </c>
      <c r="D7" s="26"/>
      <c r="E7" s="173" t="s">
        <v>211</v>
      </c>
      <c r="F7" s="180">
        <v>0</v>
      </c>
    </row>
    <row r="8" spans="2:6" ht="12.75">
      <c r="B8" s="25"/>
      <c r="C8" s="27"/>
      <c r="D8" s="26"/>
      <c r="E8" s="173" t="s">
        <v>217</v>
      </c>
      <c r="F8" s="181">
        <v>0</v>
      </c>
    </row>
    <row r="9" spans="2:6" ht="12.75">
      <c r="B9" s="25"/>
      <c r="C9" s="27"/>
      <c r="D9" s="26"/>
      <c r="E9" s="173" t="s">
        <v>62</v>
      </c>
      <c r="F9" s="182">
        <v>0</v>
      </c>
    </row>
    <row r="10" spans="2:6" ht="12.75">
      <c r="B10" s="25"/>
      <c r="C10" s="27"/>
      <c r="D10" s="26"/>
      <c r="E10" s="173" t="s">
        <v>216</v>
      </c>
      <c r="F10" s="181">
        <v>0</v>
      </c>
    </row>
    <row r="11" spans="2:6" ht="12.75">
      <c r="B11" s="25"/>
      <c r="C11" s="27"/>
      <c r="D11" s="26"/>
      <c r="E11" s="173" t="s">
        <v>63</v>
      </c>
      <c r="F11" s="182">
        <v>0</v>
      </c>
    </row>
    <row r="12" spans="2:6" ht="12.75">
      <c r="B12" s="25"/>
      <c r="C12" s="27"/>
      <c r="D12" s="26"/>
      <c r="E12" s="173" t="s">
        <v>219</v>
      </c>
      <c r="F12" s="182">
        <v>0</v>
      </c>
    </row>
    <row r="13" spans="2:6" ht="12.75">
      <c r="B13" s="25"/>
      <c r="C13" s="27"/>
      <c r="D13" s="26"/>
      <c r="E13" s="173" t="s">
        <v>220</v>
      </c>
      <c r="F13" s="183">
        <v>0</v>
      </c>
    </row>
    <row r="14" spans="2:6" ht="12.75">
      <c r="B14" s="25"/>
      <c r="C14" s="27"/>
      <c r="D14" s="26"/>
      <c r="E14" s="173"/>
      <c r="F14" s="184"/>
    </row>
    <row r="15" spans="2:6" ht="15.75">
      <c r="B15" s="48" t="s">
        <v>209</v>
      </c>
      <c r="C15" s="28">
        <f>C7*C6</f>
        <v>0</v>
      </c>
      <c r="D15" s="26"/>
      <c r="E15" s="173" t="s">
        <v>221</v>
      </c>
      <c r="F15" s="185">
        <f>F6*F7*12+F9*F8+F11*F10+F12+F13</f>
        <v>0</v>
      </c>
    </row>
    <row r="16" spans="2:6" ht="16.5" thickBot="1">
      <c r="B16" s="29" t="s">
        <v>210</v>
      </c>
      <c r="C16" s="30">
        <f>C15+F15/12</f>
        <v>0</v>
      </c>
      <c r="D16" s="31"/>
      <c r="E16" s="174"/>
      <c r="F16" s="186"/>
    </row>
    <row r="17" ht="12.75">
      <c r="B17" s="14"/>
    </row>
    <row r="18" ht="13.5" thickBot="1"/>
    <row r="19" ht="16.5" thickBot="1">
      <c r="B19" s="101" t="str">
        <f>'2-Cenários'!E5</f>
        <v>Comparador 1</v>
      </c>
    </row>
    <row r="20" spans="2:6" ht="12.75">
      <c r="B20" s="21" t="s">
        <v>200</v>
      </c>
      <c r="C20" s="22" t="s">
        <v>60</v>
      </c>
      <c r="D20" s="23"/>
      <c r="E20" s="172" t="s">
        <v>205</v>
      </c>
      <c r="F20" s="178" t="s">
        <v>60</v>
      </c>
    </row>
    <row r="21" spans="2:6" ht="12.75">
      <c r="B21" s="48" t="s">
        <v>201</v>
      </c>
      <c r="C21" s="106">
        <v>0</v>
      </c>
      <c r="D21" s="26"/>
      <c r="E21" s="173" t="s">
        <v>61</v>
      </c>
      <c r="F21" s="179">
        <v>0</v>
      </c>
    </row>
    <row r="22" spans="2:6" ht="12.75">
      <c r="B22" s="48" t="s">
        <v>202</v>
      </c>
      <c r="C22" s="107">
        <v>0</v>
      </c>
      <c r="D22" s="26"/>
      <c r="E22" s="173" t="s">
        <v>206</v>
      </c>
      <c r="F22" s="180">
        <v>0</v>
      </c>
    </row>
    <row r="23" spans="2:6" ht="12.75">
      <c r="B23" s="25"/>
      <c r="C23" s="27"/>
      <c r="D23" s="26"/>
      <c r="E23" s="173" t="s">
        <v>217</v>
      </c>
      <c r="F23" s="181">
        <v>0</v>
      </c>
    </row>
    <row r="24" spans="2:6" ht="12.75">
      <c r="B24" s="25"/>
      <c r="C24" s="27"/>
      <c r="D24" s="26"/>
      <c r="E24" s="173" t="s">
        <v>62</v>
      </c>
      <c r="F24" s="182">
        <v>0</v>
      </c>
    </row>
    <row r="25" spans="2:6" ht="12.75">
      <c r="B25" s="25"/>
      <c r="C25" s="27"/>
      <c r="D25" s="26"/>
      <c r="E25" s="173" t="s">
        <v>216</v>
      </c>
      <c r="F25" s="181">
        <v>0</v>
      </c>
    </row>
    <row r="26" spans="2:6" ht="12.75">
      <c r="B26" s="25"/>
      <c r="C26" s="27"/>
      <c r="D26" s="26"/>
      <c r="E26" s="173" t="s">
        <v>63</v>
      </c>
      <c r="F26" s="182">
        <v>0</v>
      </c>
    </row>
    <row r="27" spans="2:6" ht="12.75">
      <c r="B27" s="25"/>
      <c r="C27" s="27"/>
      <c r="D27" s="26"/>
      <c r="E27" s="173" t="s">
        <v>207</v>
      </c>
      <c r="F27" s="182">
        <v>0</v>
      </c>
    </row>
    <row r="28" spans="2:6" ht="12.75">
      <c r="B28" s="25"/>
      <c r="C28" s="27"/>
      <c r="D28" s="26"/>
      <c r="E28" s="173"/>
      <c r="F28" s="183">
        <v>0</v>
      </c>
    </row>
    <row r="29" spans="2:6" ht="12.75">
      <c r="B29" s="25"/>
      <c r="C29" s="27"/>
      <c r="D29" s="26"/>
      <c r="E29" s="173"/>
      <c r="F29" s="184"/>
    </row>
    <row r="30" spans="2:6" ht="15.75">
      <c r="B30" s="48" t="s">
        <v>203</v>
      </c>
      <c r="C30" s="28">
        <f>C22*C21</f>
        <v>0</v>
      </c>
      <c r="D30" s="26"/>
      <c r="E30" s="173" t="s">
        <v>222</v>
      </c>
      <c r="F30" s="185">
        <f>F21*F22*12+F24*F23+F26*F25+F27+F28</f>
        <v>0</v>
      </c>
    </row>
    <row r="31" spans="2:6" ht="16.5" thickBot="1">
      <c r="B31" s="29" t="s">
        <v>204</v>
      </c>
      <c r="C31" s="30">
        <f>C30+F30/12</f>
        <v>0</v>
      </c>
      <c r="D31" s="31"/>
      <c r="E31" s="174"/>
      <c r="F31" s="186"/>
    </row>
    <row r="33" ht="16.5" thickBot="1">
      <c r="B33" s="101" t="str">
        <f>'2-Cenários'!F5</f>
        <v>Comparador 2</v>
      </c>
    </row>
    <row r="34" spans="2:6" ht="12.75">
      <c r="B34" s="21" t="s">
        <v>64</v>
      </c>
      <c r="C34" s="22" t="s">
        <v>60</v>
      </c>
      <c r="D34" s="23"/>
      <c r="E34" s="172" t="s">
        <v>65</v>
      </c>
      <c r="F34" s="178" t="s">
        <v>60</v>
      </c>
    </row>
    <row r="35" spans="2:6" ht="12.75">
      <c r="B35" s="48" t="s">
        <v>201</v>
      </c>
      <c r="C35" s="106">
        <v>0</v>
      </c>
      <c r="D35" s="26"/>
      <c r="E35" s="173" t="s">
        <v>61</v>
      </c>
      <c r="F35" s="179">
        <v>0</v>
      </c>
    </row>
    <row r="36" spans="2:6" ht="12.75">
      <c r="B36" s="48" t="s">
        <v>202</v>
      </c>
      <c r="C36" s="107">
        <v>0</v>
      </c>
      <c r="D36" s="26"/>
      <c r="E36" s="173" t="s">
        <v>211</v>
      </c>
      <c r="F36" s="180">
        <v>0</v>
      </c>
    </row>
    <row r="37" spans="2:6" ht="12.75">
      <c r="B37" s="25"/>
      <c r="C37" s="27"/>
      <c r="D37" s="26"/>
      <c r="E37" s="173" t="s">
        <v>217</v>
      </c>
      <c r="F37" s="181">
        <v>0</v>
      </c>
    </row>
    <row r="38" spans="2:6" ht="12.75">
      <c r="B38" s="25"/>
      <c r="C38" s="27"/>
      <c r="D38" s="26"/>
      <c r="E38" s="173" t="s">
        <v>62</v>
      </c>
      <c r="F38" s="182">
        <v>0</v>
      </c>
    </row>
    <row r="39" spans="2:6" ht="12.75">
      <c r="B39" s="25"/>
      <c r="C39" s="27"/>
      <c r="D39" s="26"/>
      <c r="E39" s="173" t="s">
        <v>216</v>
      </c>
      <c r="F39" s="181">
        <v>0</v>
      </c>
    </row>
    <row r="40" spans="2:6" ht="12.75">
      <c r="B40" s="25"/>
      <c r="C40" s="27"/>
      <c r="D40" s="26"/>
      <c r="E40" s="173" t="s">
        <v>63</v>
      </c>
      <c r="F40" s="182">
        <v>0</v>
      </c>
    </row>
    <row r="41" spans="2:6" ht="12.75">
      <c r="B41" s="25"/>
      <c r="C41" s="27"/>
      <c r="D41" s="26"/>
      <c r="E41" s="173" t="s">
        <v>207</v>
      </c>
      <c r="F41" s="182">
        <v>0</v>
      </c>
    </row>
    <row r="42" spans="2:6" ht="12.75">
      <c r="B42" s="25"/>
      <c r="C42" s="27"/>
      <c r="D42" s="26"/>
      <c r="E42" s="173"/>
      <c r="F42" s="183">
        <v>0</v>
      </c>
    </row>
    <row r="43" spans="2:6" ht="12.75">
      <c r="B43" s="25"/>
      <c r="C43" s="27"/>
      <c r="D43" s="26"/>
      <c r="E43" s="173"/>
      <c r="F43" s="184"/>
    </row>
    <row r="44" spans="2:6" ht="15.75">
      <c r="B44" s="48" t="s">
        <v>212</v>
      </c>
      <c r="C44" s="28">
        <f>C36*C35</f>
        <v>0</v>
      </c>
      <c r="D44" s="26"/>
      <c r="E44" s="173" t="s">
        <v>223</v>
      </c>
      <c r="F44" s="185">
        <f>F35*F36*12+F38*F37+F40*F39+F41+F42</f>
        <v>0</v>
      </c>
    </row>
    <row r="45" spans="2:6" ht="16.5" thickBot="1">
      <c r="B45" s="29" t="s">
        <v>213</v>
      </c>
      <c r="C45" s="30">
        <f>C44+F44/12</f>
        <v>0</v>
      </c>
      <c r="D45" s="31"/>
      <c r="E45" s="174"/>
      <c r="F45" s="186"/>
    </row>
    <row r="47" ht="16.5" thickBot="1">
      <c r="B47" s="101" t="str">
        <f>'2-Cenários'!G5</f>
        <v>Comparador 3</v>
      </c>
    </row>
    <row r="48" spans="2:6" ht="12.75">
      <c r="B48" s="21" t="s">
        <v>66</v>
      </c>
      <c r="C48" s="22" t="s">
        <v>60</v>
      </c>
      <c r="D48" s="23"/>
      <c r="E48" s="172" t="s">
        <v>67</v>
      </c>
      <c r="F48" s="178" t="s">
        <v>60</v>
      </c>
    </row>
    <row r="49" spans="2:6" ht="12.75">
      <c r="B49" s="48" t="s">
        <v>201</v>
      </c>
      <c r="C49" s="106">
        <v>0</v>
      </c>
      <c r="D49" s="26"/>
      <c r="E49" s="173" t="s">
        <v>61</v>
      </c>
      <c r="F49" s="179">
        <v>0</v>
      </c>
    </row>
    <row r="50" spans="2:6" ht="12.75">
      <c r="B50" s="48" t="s">
        <v>202</v>
      </c>
      <c r="C50" s="107">
        <v>0</v>
      </c>
      <c r="D50" s="26"/>
      <c r="E50" s="173" t="s">
        <v>211</v>
      </c>
      <c r="F50" s="180">
        <v>0</v>
      </c>
    </row>
    <row r="51" spans="2:6" ht="12.75">
      <c r="B51" s="25"/>
      <c r="C51" s="27"/>
      <c r="D51" s="26"/>
      <c r="E51" s="173" t="s">
        <v>217</v>
      </c>
      <c r="F51" s="181">
        <v>0</v>
      </c>
    </row>
    <row r="52" spans="2:6" ht="12.75">
      <c r="B52" s="25"/>
      <c r="C52" s="27"/>
      <c r="D52" s="26"/>
      <c r="E52" s="173" t="s">
        <v>62</v>
      </c>
      <c r="F52" s="182">
        <v>0</v>
      </c>
    </row>
    <row r="53" spans="2:6" ht="12.75">
      <c r="B53" s="25"/>
      <c r="C53" s="27"/>
      <c r="D53" s="26"/>
      <c r="E53" s="173" t="s">
        <v>216</v>
      </c>
      <c r="F53" s="181">
        <v>0</v>
      </c>
    </row>
    <row r="54" spans="2:6" ht="12.75">
      <c r="B54" s="25"/>
      <c r="C54" s="27"/>
      <c r="D54" s="26"/>
      <c r="E54" s="173" t="s">
        <v>63</v>
      </c>
      <c r="F54" s="182">
        <v>0</v>
      </c>
    </row>
    <row r="55" spans="2:6" ht="12.75">
      <c r="B55" s="25"/>
      <c r="C55" s="27"/>
      <c r="D55" s="26"/>
      <c r="E55" s="173" t="s">
        <v>207</v>
      </c>
      <c r="F55" s="182">
        <v>0</v>
      </c>
    </row>
    <row r="56" spans="2:6" ht="12.75">
      <c r="B56" s="25"/>
      <c r="C56" s="27"/>
      <c r="D56" s="26"/>
      <c r="E56" s="173"/>
      <c r="F56" s="183">
        <v>0</v>
      </c>
    </row>
    <row r="57" spans="2:6" ht="12.75">
      <c r="B57" s="25"/>
      <c r="C57" s="27"/>
      <c r="D57" s="26"/>
      <c r="E57" s="173"/>
      <c r="F57" s="184"/>
    </row>
    <row r="58" spans="2:6" ht="15.75">
      <c r="B58" s="48" t="s">
        <v>214</v>
      </c>
      <c r="C58" s="28">
        <f>C50*C49</f>
        <v>0</v>
      </c>
      <c r="D58" s="26"/>
      <c r="E58" s="173" t="s">
        <v>224</v>
      </c>
      <c r="F58" s="185">
        <f>F49*F50*12+F52*F51+F54*F53+F55+F56</f>
        <v>0</v>
      </c>
    </row>
    <row r="59" spans="2:6" ht="16.5" thickBot="1">
      <c r="B59" s="29" t="s">
        <v>215</v>
      </c>
      <c r="C59" s="30">
        <f>C58+F58/12</f>
        <v>0</v>
      </c>
      <c r="D59" s="31"/>
      <c r="E59" s="174"/>
      <c r="F59" s="186"/>
    </row>
    <row r="61" spans="3:6" ht="12.75">
      <c r="C61" s="6"/>
      <c r="F61" s="6"/>
    </row>
    <row r="73" spans="3:6" ht="12.75">
      <c r="C73" s="6"/>
      <c r="F73" s="6"/>
    </row>
    <row r="74" spans="3:6" ht="12.75">
      <c r="C74" s="6"/>
      <c r="F74" s="6"/>
    </row>
    <row r="75" spans="3:6" ht="12.75">
      <c r="C75" s="6"/>
      <c r="F75" s="6"/>
    </row>
    <row r="76" spans="3:6" ht="12.75">
      <c r="C76" s="6"/>
      <c r="F76" s="6"/>
    </row>
    <row r="77" spans="3:6" ht="12.75">
      <c r="C77" s="6"/>
      <c r="F77" s="6"/>
    </row>
  </sheetData>
  <sheetProtection/>
  <conditionalFormatting sqref="B47:F59">
    <cfRule type="expression" priority="6" dxfId="22" stopIfTrue="1">
      <formula>$H$1&lt;4</formula>
    </cfRule>
  </conditionalFormatting>
  <conditionalFormatting sqref="B33:F45">
    <cfRule type="expression" priority="11" dxfId="22" stopIfTrue="1">
      <formula>$H$1&lt;3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3" width="9.140625" style="6" customWidth="1"/>
    <col min="4" max="4" width="28.140625" style="6" customWidth="1"/>
    <col min="5" max="5" width="28.421875" style="6" bestFit="1" customWidth="1"/>
    <col min="6" max="16384" width="9.140625" style="6" customWidth="1"/>
  </cols>
  <sheetData>
    <row r="1" ht="12.75">
      <c r="A1" s="7" t="s">
        <v>153</v>
      </c>
    </row>
    <row r="2" ht="12.75">
      <c r="B2" s="14" t="s">
        <v>237</v>
      </c>
    </row>
    <row r="4" spans="2:5" ht="15">
      <c r="B4" s="6" t="s">
        <v>341</v>
      </c>
      <c r="E4" s="65" t="s">
        <v>337</v>
      </c>
    </row>
    <row r="5" spans="2:5" ht="15">
      <c r="B5" s="6" t="s">
        <v>274</v>
      </c>
      <c r="E5" s="218">
        <v>0</v>
      </c>
    </row>
    <row r="6" spans="2:5" ht="15">
      <c r="B6" s="6" t="s">
        <v>275</v>
      </c>
      <c r="E6" s="218">
        <v>0</v>
      </c>
    </row>
    <row r="7" spans="2:5" ht="15">
      <c r="B7" s="6" t="s">
        <v>276</v>
      </c>
      <c r="E7" s="218">
        <v>0</v>
      </c>
    </row>
    <row r="8" spans="2:5" ht="15">
      <c r="B8" s="6" t="s">
        <v>277</v>
      </c>
      <c r="E8" s="218">
        <v>0</v>
      </c>
    </row>
    <row r="9" spans="2:5" ht="15">
      <c r="B9" s="6" t="s">
        <v>238</v>
      </c>
      <c r="E9" s="218">
        <v>0</v>
      </c>
    </row>
    <row r="10" spans="2:5" ht="15">
      <c r="B10" s="6" t="s">
        <v>278</v>
      </c>
      <c r="E10" s="66">
        <v>0</v>
      </c>
    </row>
    <row r="11" spans="4:6" ht="12.75">
      <c r="D11" s="26"/>
      <c r="E11" s="26"/>
      <c r="F11" s="26"/>
    </row>
    <row r="12" spans="2:6" ht="15" customHeight="1">
      <c r="B12" s="6" t="s">
        <v>342</v>
      </c>
      <c r="D12" s="26"/>
      <c r="E12" s="235" t="e">
        <f>(1000/(1/((E7/E8)-(E5/E6))))/E10</f>
        <v>#DIV/0!</v>
      </c>
      <c r="F12" s="26"/>
    </row>
    <row r="13" spans="2:6" ht="15" customHeight="1">
      <c r="B13" s="6" t="s">
        <v>279</v>
      </c>
      <c r="D13" s="26"/>
      <c r="E13" s="236"/>
      <c r="F13" s="26"/>
    </row>
    <row r="14" spans="4:6" ht="12.75">
      <c r="D14" s="26"/>
      <c r="E14" s="26"/>
      <c r="F14" s="26"/>
    </row>
    <row r="15" spans="2:6" ht="12.75" customHeight="1">
      <c r="B15" s="6" t="s">
        <v>302</v>
      </c>
      <c r="D15" s="26"/>
      <c r="E15" s="237" t="e">
        <f>E12*E9</f>
        <v>#DIV/0!</v>
      </c>
      <c r="F15" s="26"/>
    </row>
    <row r="16" spans="1:6" ht="12.75" customHeight="1">
      <c r="A16" s="215"/>
      <c r="B16" s="6" t="s">
        <v>303</v>
      </c>
      <c r="D16" s="26"/>
      <c r="E16" s="238"/>
      <c r="F16" s="26"/>
    </row>
    <row r="17" spans="1:6" ht="12.75">
      <c r="A17" s="216"/>
      <c r="D17" s="26"/>
      <c r="E17" s="26"/>
      <c r="F17" s="26"/>
    </row>
    <row r="18" ht="12.75">
      <c r="A18" s="216"/>
    </row>
  </sheetData>
  <sheetProtection/>
  <mergeCells count="2">
    <mergeCell ref="E12:E13"/>
    <mergeCell ref="E15:E16"/>
  </mergeCells>
  <hyperlinks>
    <hyperlink ref="A1" location="'Apresentação e Índice'!A1" display="Índice"/>
  </hyperlink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6" customWidth="1"/>
    <col min="2" max="2" width="34.421875" style="26" customWidth="1"/>
    <col min="3" max="3" width="25.421875" style="27" customWidth="1"/>
    <col min="4" max="4" width="23.140625" style="27" bestFit="1" customWidth="1"/>
    <col min="5" max="5" width="16.8515625" style="27" customWidth="1"/>
    <col min="6" max="6" width="13.00390625" style="27" customWidth="1"/>
    <col min="7" max="7" width="13.28125" style="27" customWidth="1"/>
    <col min="8" max="9" width="14.421875" style="27" customWidth="1"/>
    <col min="10" max="10" width="13.421875" style="27" customWidth="1"/>
    <col min="11" max="11" width="13.8515625" style="27" customWidth="1"/>
    <col min="12" max="12" width="1.8515625" style="27" customWidth="1"/>
    <col min="13" max="13" width="8.140625" style="27" customWidth="1"/>
    <col min="14" max="15" width="9.140625" style="26" hidden="1" customWidth="1"/>
    <col min="16" max="17" width="0" style="26" hidden="1" customWidth="1"/>
    <col min="18" max="16384" width="9.140625" style="26" customWidth="1"/>
  </cols>
  <sheetData>
    <row r="1" spans="1:17" ht="12.75">
      <c r="A1" s="146" t="s">
        <v>153</v>
      </c>
      <c r="N1" s="222" t="str">
        <f>'1-Critérios'!C21</f>
        <v>Rótulo Cenário Alternativo 1</v>
      </c>
      <c r="O1" s="222" t="str">
        <f>'1-Critérios'!C22</f>
        <v>Rótulo Cenário Alternativo 1</v>
      </c>
      <c r="P1" s="26">
        <f>'1-Critérios'!C15</f>
        <v>5</v>
      </c>
      <c r="Q1" s="226">
        <f>'1-Critérios'!C24</f>
        <v>4</v>
      </c>
    </row>
    <row r="2" ht="12.75">
      <c r="B2" s="223" t="s">
        <v>264</v>
      </c>
    </row>
    <row r="4" spans="4:10" ht="12.75">
      <c r="D4" s="224" t="str">
        <f>'1-Critérios'!C11</f>
        <v>Nome do fármaco avaliado</v>
      </c>
      <c r="F4" s="224" t="str">
        <f>'2-Cenários'!E5</f>
        <v>Comparador 1</v>
      </c>
      <c r="H4" s="224" t="str">
        <f>'2-Cenários'!F5</f>
        <v>Comparador 2</v>
      </c>
      <c r="J4" s="224" t="str">
        <f>'2-Cenários'!G5</f>
        <v>Comparador 3</v>
      </c>
    </row>
    <row r="5" spans="3:13" ht="12.75">
      <c r="C5" s="27" t="s">
        <v>15</v>
      </c>
      <c r="D5" s="27" t="s">
        <v>72</v>
      </c>
      <c r="E5" s="220" t="s">
        <v>73</v>
      </c>
      <c r="F5" s="27" t="s">
        <v>16</v>
      </c>
      <c r="G5" s="27" t="s">
        <v>69</v>
      </c>
      <c r="H5" s="220" t="s">
        <v>17</v>
      </c>
      <c r="I5" s="27" t="s">
        <v>70</v>
      </c>
      <c r="J5" s="27" t="s">
        <v>18</v>
      </c>
      <c r="K5" s="220" t="s">
        <v>71</v>
      </c>
      <c r="M5" s="27" t="s">
        <v>74</v>
      </c>
    </row>
    <row r="6" spans="2:13" ht="12.75">
      <c r="B6" s="26" t="s">
        <v>127</v>
      </c>
      <c r="C6" s="102" t="str">
        <f>'2-Cenários'!C7</f>
        <v>Rótulo Cenário Referência</v>
      </c>
      <c r="D6" s="98">
        <f>'2-Cenários'!D7</f>
        <v>0</v>
      </c>
      <c r="E6" s="224">
        <f>'6-Custos do Tratamento'!C16</f>
        <v>0</v>
      </c>
      <c r="F6" s="98">
        <f>'2-Cenários'!E7</f>
        <v>0.3</v>
      </c>
      <c r="G6" s="224">
        <f>'6-Custos do Tratamento'!C31</f>
        <v>0</v>
      </c>
      <c r="H6" s="98">
        <f>'2-Cenários'!F7</f>
        <v>0.35</v>
      </c>
      <c r="I6" s="224">
        <f>'6-Custos do Tratamento'!C45</f>
        <v>0</v>
      </c>
      <c r="J6" s="98">
        <f>'2-Cenários'!G7</f>
        <v>0.35</v>
      </c>
      <c r="K6" s="224">
        <f>'6-Custos do Tratamento'!C59</f>
        <v>0</v>
      </c>
      <c r="M6" s="225">
        <f>F6+H6+J6+D6</f>
        <v>0.9999999999999999</v>
      </c>
    </row>
    <row r="7" spans="2:8" ht="15.75">
      <c r="B7" s="26" t="s">
        <v>345</v>
      </c>
      <c r="C7" s="28">
        <f>F6*G6+H6*I6+J6*K6+D6*E6</f>
        <v>0</v>
      </c>
      <c r="H7" s="220"/>
    </row>
    <row r="8" spans="2:8" ht="15.75">
      <c r="B8" s="26" t="s">
        <v>131</v>
      </c>
      <c r="C8" s="28">
        <f>C7*12</f>
        <v>0</v>
      </c>
      <c r="H8" s="220"/>
    </row>
    <row r="9" ht="12.75">
      <c r="H9" s="220"/>
    </row>
    <row r="10" spans="2:13" ht="12.75">
      <c r="B10" s="26" t="s">
        <v>128</v>
      </c>
      <c r="C10" s="102" t="str">
        <f>'1-Critérios'!C20</f>
        <v>Rótulo Cenário Alternativo 1</v>
      </c>
      <c r="D10" s="98">
        <f>'2-Cenários'!D24</f>
        <v>0.03</v>
      </c>
      <c r="E10" s="224">
        <f>$E$6</f>
        <v>0</v>
      </c>
      <c r="F10" s="98">
        <f>'2-Cenários'!E24</f>
        <v>0.2852941176470588</v>
      </c>
      <c r="G10" s="224">
        <f>$G$6</f>
        <v>0</v>
      </c>
      <c r="H10" s="98">
        <f>'2-Cenários'!F24</f>
        <v>0.3423529411764706</v>
      </c>
      <c r="I10" s="224">
        <f>$I$6</f>
        <v>0</v>
      </c>
      <c r="J10" s="98">
        <f>'2-Cenários'!G24</f>
        <v>0.3423529411764706</v>
      </c>
      <c r="K10" s="224">
        <f>$K$6</f>
        <v>0</v>
      </c>
      <c r="M10" s="225">
        <f>F10+H10+J10+D10</f>
        <v>1</v>
      </c>
    </row>
    <row r="11" spans="3:13" ht="12.75">
      <c r="C11" s="202"/>
      <c r="D11" s="98">
        <f>'2-Cenários'!D25</f>
        <v>0.06</v>
      </c>
      <c r="E11" s="224">
        <f>$E$6</f>
        <v>0</v>
      </c>
      <c r="F11" s="98">
        <f>'2-Cenários'!E25</f>
        <v>0.27647058823529413</v>
      </c>
      <c r="G11" s="224">
        <f>$G$6</f>
        <v>0</v>
      </c>
      <c r="H11" s="98">
        <f>'2-Cenários'!F25</f>
        <v>0.3317647058823529</v>
      </c>
      <c r="I11" s="224">
        <f>$I$6</f>
        <v>0</v>
      </c>
      <c r="J11" s="98">
        <f>'2-Cenários'!G25</f>
        <v>0.3317647058823529</v>
      </c>
      <c r="K11" s="224">
        <f>$K$6</f>
        <v>0</v>
      </c>
      <c r="M11" s="225"/>
    </row>
    <row r="12" spans="3:13" ht="12.75">
      <c r="C12" s="202"/>
      <c r="D12" s="98">
        <f>'2-Cenários'!D26</f>
        <v>0.09</v>
      </c>
      <c r="E12" s="224">
        <f>$E$6</f>
        <v>0</v>
      </c>
      <c r="F12" s="98">
        <f>'2-Cenários'!E26</f>
        <v>0.2676470588235294</v>
      </c>
      <c r="G12" s="224">
        <f>$G$6</f>
        <v>0</v>
      </c>
      <c r="H12" s="98">
        <f>'2-Cenários'!F26</f>
        <v>0.3211764705882353</v>
      </c>
      <c r="I12" s="224">
        <f>$I$6</f>
        <v>0</v>
      </c>
      <c r="J12" s="98">
        <f>'2-Cenários'!G26</f>
        <v>0.3211764705882353</v>
      </c>
      <c r="K12" s="224">
        <f>$K$6</f>
        <v>0</v>
      </c>
      <c r="M12" s="225"/>
    </row>
    <row r="13" spans="3:13" ht="12.75">
      <c r="C13" s="202"/>
      <c r="D13" s="98">
        <f>'2-Cenários'!D27</f>
        <v>0.12</v>
      </c>
      <c r="E13" s="224">
        <f>$E$6</f>
        <v>0</v>
      </c>
      <c r="F13" s="98">
        <f>'2-Cenários'!E27</f>
        <v>0.25882352941176473</v>
      </c>
      <c r="G13" s="224">
        <f>$G$6</f>
        <v>0</v>
      </c>
      <c r="H13" s="98">
        <f>'2-Cenários'!F27</f>
        <v>0.3105882352941176</v>
      </c>
      <c r="I13" s="224">
        <f>$I$6</f>
        <v>0</v>
      </c>
      <c r="J13" s="98">
        <f>'2-Cenários'!G27</f>
        <v>0.3105882352941176</v>
      </c>
      <c r="K13" s="224">
        <f>$K$6</f>
        <v>0</v>
      </c>
      <c r="M13" s="225"/>
    </row>
    <row r="14" spans="3:13" ht="12.75">
      <c r="C14" s="202"/>
      <c r="D14" s="98">
        <f>'2-Cenários'!D28</f>
        <v>0.15</v>
      </c>
      <c r="E14" s="224">
        <f>$E$6</f>
        <v>0</v>
      </c>
      <c r="F14" s="98">
        <f>'2-Cenários'!E28</f>
        <v>0.25</v>
      </c>
      <c r="G14" s="224">
        <f>$G$6</f>
        <v>0</v>
      </c>
      <c r="H14" s="98">
        <f>'2-Cenários'!F28</f>
        <v>0.3</v>
      </c>
      <c r="I14" s="224">
        <f>$I$6</f>
        <v>0</v>
      </c>
      <c r="J14" s="98">
        <f>'2-Cenários'!G28</f>
        <v>0.3</v>
      </c>
      <c r="K14" s="224">
        <f>$K$6</f>
        <v>0</v>
      </c>
      <c r="M14" s="225"/>
    </row>
    <row r="15" spans="2:8" ht="15.75">
      <c r="B15" s="26" t="s">
        <v>227</v>
      </c>
      <c r="C15" s="28">
        <f>F10*G10+H10*I10+J10*K10+D10*E10</f>
        <v>0</v>
      </c>
      <c r="H15" s="220"/>
    </row>
    <row r="16" spans="2:8" ht="15.75">
      <c r="B16" s="26" t="s">
        <v>228</v>
      </c>
      <c r="C16" s="28">
        <f>C15*12</f>
        <v>0</v>
      </c>
      <c r="H16" s="220"/>
    </row>
    <row r="17" spans="2:8" ht="15.75">
      <c r="B17" s="26" t="s">
        <v>233</v>
      </c>
      <c r="C17" s="28">
        <f>F11*G11+H11*I11+J11*K11+D11*E11</f>
        <v>0</v>
      </c>
      <c r="H17" s="220"/>
    </row>
    <row r="18" spans="2:8" ht="15.75">
      <c r="B18" s="26" t="s">
        <v>229</v>
      </c>
      <c r="C18" s="28">
        <f>C17*12</f>
        <v>0</v>
      </c>
      <c r="H18" s="220"/>
    </row>
    <row r="19" spans="2:8" ht="15.75">
      <c r="B19" s="26" t="s">
        <v>234</v>
      </c>
      <c r="C19" s="28">
        <f>F12*G12+H12*I12+J12*K12+D12*E12</f>
        <v>0</v>
      </c>
      <c r="H19" s="220"/>
    </row>
    <row r="20" spans="2:8" ht="15.75">
      <c r="B20" s="26" t="s">
        <v>230</v>
      </c>
      <c r="C20" s="28">
        <f>C19*12</f>
        <v>0</v>
      </c>
      <c r="H20" s="220"/>
    </row>
    <row r="21" spans="2:8" ht="15.75">
      <c r="B21" s="26" t="s">
        <v>235</v>
      </c>
      <c r="C21" s="28">
        <f>F13*G13+H13*I13+J13*K13+D13*E13</f>
        <v>0</v>
      </c>
      <c r="H21" s="220"/>
    </row>
    <row r="22" spans="2:8" ht="15.75">
      <c r="B22" s="26" t="s">
        <v>231</v>
      </c>
      <c r="C22" s="28">
        <f>C21*12</f>
        <v>0</v>
      </c>
      <c r="H22" s="220"/>
    </row>
    <row r="23" spans="2:8" ht="15.75">
      <c r="B23" s="26" t="s">
        <v>236</v>
      </c>
      <c r="C23" s="28">
        <f>F14*G14+H14*I14+J14*K14+D14*E14</f>
        <v>0</v>
      </c>
      <c r="H23" s="220"/>
    </row>
    <row r="24" spans="2:8" ht="15.75">
      <c r="B24" s="26" t="s">
        <v>232</v>
      </c>
      <c r="C24" s="28">
        <f>C23*12</f>
        <v>0</v>
      </c>
      <c r="H24" s="220"/>
    </row>
    <row r="25" ht="12.75">
      <c r="H25" s="220"/>
    </row>
    <row r="26" spans="2:13" ht="12.75">
      <c r="B26" s="26" t="s">
        <v>129</v>
      </c>
      <c r="C26" s="102" t="str">
        <f>'1-Critérios'!C21</f>
        <v>Rótulo Cenário Alternativo 1</v>
      </c>
      <c r="D26" s="98">
        <f>'2-Cenários'!D34</f>
        <v>0.06</v>
      </c>
      <c r="E26" s="224">
        <f>$E$6</f>
        <v>0</v>
      </c>
      <c r="F26" s="98">
        <f>'2-Cenários'!E34</f>
        <v>0.26857142857142857</v>
      </c>
      <c r="G26" s="224">
        <f>$G$6</f>
        <v>0</v>
      </c>
      <c r="H26" s="98">
        <f>'2-Cenários'!F34</f>
        <v>0.33571428571428574</v>
      </c>
      <c r="I26" s="224">
        <f>$I$6</f>
        <v>0</v>
      </c>
      <c r="J26" s="98">
        <f>'2-Cenários'!G34</f>
        <v>0.33571428571428574</v>
      </c>
      <c r="K26" s="224">
        <f>$K$6</f>
        <v>0</v>
      </c>
      <c r="M26" s="225">
        <f>F26+H26+J26+D26</f>
        <v>1</v>
      </c>
    </row>
    <row r="27" spans="4:13" ht="12.75">
      <c r="D27" s="98">
        <f>'2-Cenários'!D35</f>
        <v>0.12</v>
      </c>
      <c r="E27" s="224">
        <f>$E$6</f>
        <v>0</v>
      </c>
      <c r="F27" s="98">
        <f>'2-Cenários'!E35</f>
        <v>0.25142857142857145</v>
      </c>
      <c r="G27" s="224">
        <f>$G$6</f>
        <v>0</v>
      </c>
      <c r="H27" s="98">
        <f>'2-Cenários'!F35</f>
        <v>0.3142857142857143</v>
      </c>
      <c r="I27" s="224">
        <f>$I$6</f>
        <v>0</v>
      </c>
      <c r="J27" s="98">
        <f>'2-Cenários'!G35</f>
        <v>0.3142857142857143</v>
      </c>
      <c r="K27" s="224">
        <f>$K$6</f>
        <v>0</v>
      </c>
      <c r="M27" s="225"/>
    </row>
    <row r="28" spans="4:13" ht="12.75">
      <c r="D28" s="98">
        <f>'2-Cenários'!D36</f>
        <v>0.18</v>
      </c>
      <c r="E28" s="224">
        <f>$E$6</f>
        <v>0</v>
      </c>
      <c r="F28" s="98">
        <f>'2-Cenários'!E36</f>
        <v>0.2342857142857143</v>
      </c>
      <c r="G28" s="224">
        <f>$G$6</f>
        <v>0</v>
      </c>
      <c r="H28" s="98">
        <f>'2-Cenários'!F36</f>
        <v>0.29285714285714287</v>
      </c>
      <c r="I28" s="224">
        <f>$I$6</f>
        <v>0</v>
      </c>
      <c r="J28" s="98">
        <f>'2-Cenários'!G36</f>
        <v>0.29285714285714287</v>
      </c>
      <c r="K28" s="224">
        <f>$K$6</f>
        <v>0</v>
      </c>
      <c r="M28" s="225"/>
    </row>
    <row r="29" spans="4:13" ht="12.75">
      <c r="D29" s="98">
        <f>'2-Cenários'!D37</f>
        <v>0.24</v>
      </c>
      <c r="E29" s="224">
        <f>$E$6</f>
        <v>0</v>
      </c>
      <c r="F29" s="98">
        <f>'2-Cenários'!E37</f>
        <v>0.21714285714285717</v>
      </c>
      <c r="G29" s="224">
        <f>$G$6</f>
        <v>0</v>
      </c>
      <c r="H29" s="98">
        <f>'2-Cenários'!F37</f>
        <v>0.2714285714285714</v>
      </c>
      <c r="I29" s="224">
        <f>$I$6</f>
        <v>0</v>
      </c>
      <c r="J29" s="98">
        <f>'2-Cenários'!G37</f>
        <v>0.2714285714285714</v>
      </c>
      <c r="K29" s="224">
        <f>$K$6</f>
        <v>0</v>
      </c>
      <c r="M29" s="225"/>
    </row>
    <row r="30" spans="4:13" ht="12.75">
      <c r="D30" s="98">
        <f>'2-Cenários'!D38</f>
        <v>0.3</v>
      </c>
      <c r="E30" s="224">
        <f>$E$6</f>
        <v>0</v>
      </c>
      <c r="F30" s="98">
        <f>'2-Cenários'!E38</f>
        <v>0.2</v>
      </c>
      <c r="G30" s="224">
        <f>$G$6</f>
        <v>0</v>
      </c>
      <c r="H30" s="98">
        <f>'2-Cenários'!F38</f>
        <v>0.25</v>
      </c>
      <c r="I30" s="224">
        <f>$I$6</f>
        <v>0</v>
      </c>
      <c r="J30" s="98">
        <f>'2-Cenários'!G38</f>
        <v>0.25</v>
      </c>
      <c r="K30" s="224">
        <f>$K$6</f>
        <v>0</v>
      </c>
      <c r="M30" s="225"/>
    </row>
    <row r="31" spans="2:8" ht="15.75">
      <c r="B31" s="26" t="s">
        <v>244</v>
      </c>
      <c r="C31" s="28">
        <f>F26*G26+H26*I26+J26*K26+D26*E26</f>
        <v>0</v>
      </c>
      <c r="H31" s="220"/>
    </row>
    <row r="32" spans="2:8" ht="15.75">
      <c r="B32" s="26" t="s">
        <v>245</v>
      </c>
      <c r="C32" s="28">
        <f>C31*12</f>
        <v>0</v>
      </c>
      <c r="H32" s="220"/>
    </row>
    <row r="33" spans="2:8" ht="15.75">
      <c r="B33" s="26" t="s">
        <v>246</v>
      </c>
      <c r="C33" s="28">
        <f>F27*G27+H27*I27+J27*K27+D27*E27</f>
        <v>0</v>
      </c>
      <c r="H33" s="220"/>
    </row>
    <row r="34" spans="2:8" ht="15.75">
      <c r="B34" s="26" t="s">
        <v>247</v>
      </c>
      <c r="C34" s="28">
        <f>C33*12</f>
        <v>0</v>
      </c>
      <c r="H34" s="220"/>
    </row>
    <row r="35" spans="2:8" ht="15.75">
      <c r="B35" s="26" t="s">
        <v>248</v>
      </c>
      <c r="C35" s="28">
        <f>F28*G28+H28*I28+J28*K28+D28*E28</f>
        <v>0</v>
      </c>
      <c r="H35" s="220"/>
    </row>
    <row r="36" spans="2:8" ht="15.75">
      <c r="B36" s="26" t="s">
        <v>249</v>
      </c>
      <c r="C36" s="28">
        <f>C35*12</f>
        <v>0</v>
      </c>
      <c r="H36" s="220"/>
    </row>
    <row r="37" spans="2:8" ht="15.75">
      <c r="B37" s="26" t="s">
        <v>250</v>
      </c>
      <c r="C37" s="28">
        <f>F29*G29+H29*I29+J29*K29+D29*E29</f>
        <v>0</v>
      </c>
      <c r="H37" s="220"/>
    </row>
    <row r="38" spans="2:8" ht="15.75">
      <c r="B38" s="26" t="s">
        <v>251</v>
      </c>
      <c r="C38" s="28">
        <f>C37*12</f>
        <v>0</v>
      </c>
      <c r="H38" s="220"/>
    </row>
    <row r="39" spans="2:8" ht="15.75">
      <c r="B39" s="26" t="s">
        <v>252</v>
      </c>
      <c r="C39" s="28">
        <f>F30*G30+H30*I30+J30*K30+D30*E30</f>
        <v>0</v>
      </c>
      <c r="H39" s="220"/>
    </row>
    <row r="40" spans="2:8" ht="15.75">
      <c r="B40" s="26" t="s">
        <v>253</v>
      </c>
      <c r="C40" s="28">
        <f>C39*12</f>
        <v>0</v>
      </c>
      <c r="H40" s="220"/>
    </row>
    <row r="41" spans="3:8" ht="12.75">
      <c r="C41" s="33"/>
      <c r="H41" s="220"/>
    </row>
    <row r="42" spans="2:13" ht="12.75">
      <c r="B42" s="26" t="s">
        <v>130</v>
      </c>
      <c r="C42" s="102" t="str">
        <f>'1-Critérios'!C22</f>
        <v>Rótulo Cenário Alternativo 1</v>
      </c>
      <c r="D42" s="98">
        <f>'2-Cenários'!D44</f>
        <v>0.09000000000000001</v>
      </c>
      <c r="E42" s="224">
        <f>$E$6</f>
        <v>0</v>
      </c>
      <c r="F42" s="98">
        <f>'2-Cenários'!E44</f>
        <v>0.24818181818181817</v>
      </c>
      <c r="G42" s="224">
        <f>$G$6</f>
        <v>0</v>
      </c>
      <c r="H42" s="98">
        <f>'2-Cenários'!F44</f>
        <v>0.33090909090909093</v>
      </c>
      <c r="I42" s="224">
        <f>$I$6</f>
        <v>0</v>
      </c>
      <c r="J42" s="98">
        <f>'2-Cenários'!G44</f>
        <v>0.33090909090909093</v>
      </c>
      <c r="K42" s="224">
        <f>$K$6</f>
        <v>0</v>
      </c>
      <c r="M42" s="225">
        <f>F42+H42+J42+D42</f>
        <v>1</v>
      </c>
    </row>
    <row r="43" spans="3:13" ht="12.75">
      <c r="C43" s="26"/>
      <c r="D43" s="98">
        <f>'2-Cenários'!D45</f>
        <v>0.18000000000000002</v>
      </c>
      <c r="E43" s="224">
        <f>$E$6</f>
        <v>0</v>
      </c>
      <c r="F43" s="98">
        <f>'2-Cenários'!E45</f>
        <v>0.22363636363636363</v>
      </c>
      <c r="G43" s="224">
        <f>$G$6</f>
        <v>0</v>
      </c>
      <c r="H43" s="98">
        <f>'2-Cenários'!F45</f>
        <v>0.2981818181818182</v>
      </c>
      <c r="I43" s="224">
        <f>$I$6</f>
        <v>0</v>
      </c>
      <c r="J43" s="98">
        <f>'2-Cenários'!G45</f>
        <v>0.2981818181818182</v>
      </c>
      <c r="K43" s="224">
        <f>$K$6</f>
        <v>0</v>
      </c>
      <c r="M43" s="225"/>
    </row>
    <row r="44" spans="3:13" ht="12.75">
      <c r="C44" s="26"/>
      <c r="D44" s="98">
        <f>'2-Cenários'!D46</f>
        <v>0.27</v>
      </c>
      <c r="E44" s="224">
        <f>$E$6</f>
        <v>0</v>
      </c>
      <c r="F44" s="98">
        <f>'2-Cenários'!E46</f>
        <v>0.1990909090909091</v>
      </c>
      <c r="G44" s="224">
        <f>$G$6</f>
        <v>0</v>
      </c>
      <c r="H44" s="98">
        <f>'2-Cenários'!F46</f>
        <v>0.26545454545454544</v>
      </c>
      <c r="I44" s="224">
        <f>$I$6</f>
        <v>0</v>
      </c>
      <c r="J44" s="98">
        <f>'2-Cenários'!G46</f>
        <v>0.26545454545454544</v>
      </c>
      <c r="K44" s="224">
        <f>$K$6</f>
        <v>0</v>
      </c>
      <c r="M44" s="225"/>
    </row>
    <row r="45" spans="3:13" ht="12.75">
      <c r="C45" s="26"/>
      <c r="D45" s="98">
        <f>'2-Cenários'!D47</f>
        <v>0.36000000000000004</v>
      </c>
      <c r="E45" s="224">
        <f>$E$6</f>
        <v>0</v>
      </c>
      <c r="F45" s="98">
        <f>'2-Cenários'!E47</f>
        <v>0.17454545454545453</v>
      </c>
      <c r="G45" s="224">
        <f>$G$6</f>
        <v>0</v>
      </c>
      <c r="H45" s="98">
        <f>'2-Cenários'!F47</f>
        <v>0.23272727272727273</v>
      </c>
      <c r="I45" s="224">
        <f>$I$6</f>
        <v>0</v>
      </c>
      <c r="J45" s="98">
        <f>'2-Cenários'!G47</f>
        <v>0.23272727272727273</v>
      </c>
      <c r="K45" s="224">
        <f>$K$6</f>
        <v>0</v>
      </c>
      <c r="M45" s="225"/>
    </row>
    <row r="46" spans="3:13" ht="12.75">
      <c r="C46" s="26"/>
      <c r="D46" s="98">
        <f>'2-Cenários'!D48</f>
        <v>0.45</v>
      </c>
      <c r="E46" s="224">
        <f>$E$6</f>
        <v>0</v>
      </c>
      <c r="F46" s="98">
        <f>'2-Cenários'!E48</f>
        <v>0.15</v>
      </c>
      <c r="G46" s="224">
        <f>$G$6</f>
        <v>0</v>
      </c>
      <c r="H46" s="98">
        <f>'2-Cenários'!F48</f>
        <v>0.2</v>
      </c>
      <c r="I46" s="224">
        <f>$I$6</f>
        <v>0</v>
      </c>
      <c r="J46" s="98">
        <f>'2-Cenários'!G48</f>
        <v>0.2</v>
      </c>
      <c r="K46" s="224">
        <f>$K$6</f>
        <v>0</v>
      </c>
      <c r="M46" s="225"/>
    </row>
    <row r="47" spans="2:3" ht="15.75">
      <c r="B47" s="26" t="s">
        <v>254</v>
      </c>
      <c r="C47" s="28">
        <f>F42*G42+H42*I42+J42*K42+D42*E42</f>
        <v>0</v>
      </c>
    </row>
    <row r="48" spans="2:3" ht="15.75">
      <c r="B48" s="26" t="s">
        <v>255</v>
      </c>
      <c r="C48" s="28">
        <f>C47*12</f>
        <v>0</v>
      </c>
    </row>
    <row r="49" spans="2:3" ht="15.75">
      <c r="B49" s="26" t="s">
        <v>256</v>
      </c>
      <c r="C49" s="28">
        <f>F43*G43+H43*I43+J43*K43+D43*E43</f>
        <v>0</v>
      </c>
    </row>
    <row r="50" spans="2:3" ht="15.75">
      <c r="B50" s="26" t="s">
        <v>257</v>
      </c>
      <c r="C50" s="28">
        <f>C49*12</f>
        <v>0</v>
      </c>
    </row>
    <row r="51" spans="2:3" ht="15.75">
      <c r="B51" s="26" t="s">
        <v>258</v>
      </c>
      <c r="C51" s="28">
        <f>F44*G44+H44*I44+J44*K44+D44*E44</f>
        <v>0</v>
      </c>
    </row>
    <row r="52" spans="2:3" ht="15.75">
      <c r="B52" s="26" t="s">
        <v>259</v>
      </c>
      <c r="C52" s="28">
        <f>C51*12</f>
        <v>0</v>
      </c>
    </row>
    <row r="53" spans="2:3" ht="15.75">
      <c r="B53" s="26" t="s">
        <v>260</v>
      </c>
      <c r="C53" s="28">
        <f>F45*G45+H45*I45+J45*K45+D45*E45</f>
        <v>0</v>
      </c>
    </row>
    <row r="54" spans="2:3" ht="15.75">
      <c r="B54" s="26" t="s">
        <v>261</v>
      </c>
      <c r="C54" s="28">
        <f>C53*12</f>
        <v>0</v>
      </c>
    </row>
    <row r="55" spans="2:3" ht="15.75">
      <c r="B55" s="26" t="s">
        <v>262</v>
      </c>
      <c r="C55" s="28">
        <f>F46*G46+H46*I46+J46*K46+D46*E46</f>
        <v>0</v>
      </c>
    </row>
    <row r="56" spans="2:3" ht="15.75">
      <c r="B56" s="26" t="s">
        <v>263</v>
      </c>
      <c r="C56" s="28">
        <f>C55*12</f>
        <v>0</v>
      </c>
    </row>
    <row r="59" ht="12.75">
      <c r="B59" s="26" t="s">
        <v>75</v>
      </c>
    </row>
    <row r="61" ht="12.75">
      <c r="B61" s="26" t="s">
        <v>343</v>
      </c>
    </row>
    <row r="62" ht="12.75">
      <c r="B62" s="234" t="s">
        <v>344</v>
      </c>
    </row>
  </sheetData>
  <sheetProtection/>
  <conditionalFormatting sqref="J1:K65536">
    <cfRule type="expression" priority="8" dxfId="8" stopIfTrue="1">
      <formula>$Q$1&lt;4</formula>
    </cfRule>
  </conditionalFormatting>
  <conditionalFormatting sqref="H1:I65536">
    <cfRule type="expression" priority="7" dxfId="8" stopIfTrue="1">
      <formula>$Q$1&lt;3</formula>
    </cfRule>
  </conditionalFormatting>
  <conditionalFormatting sqref="A42:IV56">
    <cfRule type="expression" priority="6" dxfId="8" stopIfTrue="1">
      <formula>$O$1=0</formula>
    </cfRule>
  </conditionalFormatting>
  <conditionalFormatting sqref="A26:IV40">
    <cfRule type="expression" priority="5" dxfId="8" stopIfTrue="1">
      <formula>$N$1=0</formula>
    </cfRule>
  </conditionalFormatting>
  <conditionalFormatting sqref="A14:IV14 A23:IV24 A30:IV30 A39:IV40 A46:IV46 A55:IV56">
    <cfRule type="expression" priority="4" dxfId="8" stopIfTrue="1">
      <formula>$P$1&lt;5</formula>
    </cfRule>
  </conditionalFormatting>
  <conditionalFormatting sqref="A53:IV54 A45:IV45 A37:IV38 A29:IV29 A21:IV22 A13:IV13">
    <cfRule type="expression" priority="3" dxfId="8" stopIfTrue="1">
      <formula>$P$1&lt;4</formula>
    </cfRule>
  </conditionalFormatting>
  <conditionalFormatting sqref="A12:IV12 A19:IV20 A28:IV28 A35:IV36 A44:IV44 A51:IV52">
    <cfRule type="expression" priority="2" dxfId="8" stopIfTrue="1">
      <formula>$P$1&lt;3</formula>
    </cfRule>
  </conditionalFormatting>
  <conditionalFormatting sqref="A49:IV50 A43:IV43 A33:IV34 A27:IV27 A17:IV18 A11:IV11">
    <cfRule type="expression" priority="1" dxfId="8" stopIfTrue="1">
      <formula>$P$1&lt;2</formula>
    </cfRule>
  </conditionalFormatting>
  <hyperlinks>
    <hyperlink ref="A1" location="'Apresentação e Índice'!A1" display="Í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C17 C23 C21 C19 F26 H26:H30 J26:J30 C33 C35 C37 C39 C49:C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José Miguel Vidal Júnior</cp:lastModifiedBy>
  <cp:lastPrinted>2010-06-05T21:07:24Z</cp:lastPrinted>
  <dcterms:created xsi:type="dcterms:W3CDTF">2010-04-08T13:19:36Z</dcterms:created>
  <dcterms:modified xsi:type="dcterms:W3CDTF">2015-05-19T13:03:10Z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